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472" tabRatio="605" activeTab="0"/>
  </bookViews>
  <sheets>
    <sheet name="Deficit" sheetId="1" r:id="rId1"/>
    <sheet name="Adósság" sheetId="2" r:id="rId2"/>
  </sheets>
  <definedNames>
    <definedName name="_xlnm.Print_Area" localSheetId="1">'Adósság'!$A$1:$CX$40</definedName>
    <definedName name="_xlnm.Print_Area" localSheetId="0">'Deficit'!$A$1:$CP$41</definedName>
  </definedNames>
  <calcPr fullCalcOnLoad="1"/>
</workbook>
</file>

<file path=xl/sharedStrings.xml><?xml version="1.0" encoding="utf-8"?>
<sst xmlns="http://schemas.openxmlformats.org/spreadsheetml/2006/main" count="493" uniqueCount="73">
  <si>
    <t>Belgium</t>
  </si>
  <si>
    <t>Dánia</t>
  </si>
  <si>
    <t>Németország</t>
  </si>
  <si>
    <t>Görögország</t>
  </si>
  <si>
    <t>Spanyolország</t>
  </si>
  <si>
    <t>Franciaország</t>
  </si>
  <si>
    <t>Írország</t>
  </si>
  <si>
    <t>Olaszország</t>
  </si>
  <si>
    <t>Luxembourg</t>
  </si>
  <si>
    <t>Hollandia</t>
  </si>
  <si>
    <t>Ausztria</t>
  </si>
  <si>
    <t>Portugália</t>
  </si>
  <si>
    <t>Finnország</t>
  </si>
  <si>
    <t>Svédország</t>
  </si>
  <si>
    <t>EU-15</t>
  </si>
  <si>
    <t>2002.
szept.</t>
  </si>
  <si>
    <t>2003.
szept.</t>
  </si>
  <si>
    <t>Adat-
közlés</t>
  </si>
  <si>
    <t>A kormányzati szektor hiányának alakulása a GDP %-ában az EDP-Notifikációs jelentések alapján</t>
  </si>
  <si>
    <t>A kormányzati szektor adósságának alakulása a GDP %-ában az EDP-Notifikációs jelentések alapján</t>
  </si>
  <si>
    <t>Bulgária</t>
  </si>
  <si>
    <t>Észtország</t>
  </si>
  <si>
    <t>Magyarország</t>
  </si>
  <si>
    <t>Litvánia</t>
  </si>
  <si>
    <t>Lettország</t>
  </si>
  <si>
    <t>Málta</t>
  </si>
  <si>
    <t>Lengyelország</t>
  </si>
  <si>
    <t>Románia</t>
  </si>
  <si>
    <t>Szlovákia</t>
  </si>
  <si>
    <t>Szlovénia</t>
  </si>
  <si>
    <t>2002.
márc.</t>
  </si>
  <si>
    <t>2003.
márc.</t>
  </si>
  <si>
    <t xml:space="preserve">Forrás: Eurostat, </t>
  </si>
  <si>
    <t>2006. ápr</t>
  </si>
  <si>
    <t>2006 okt</t>
  </si>
  <si>
    <t>2006. okt</t>
  </si>
  <si>
    <t>EU-27</t>
  </si>
  <si>
    <t>2007 okt</t>
  </si>
  <si>
    <t>2004. márc.</t>
  </si>
  <si>
    <t>2004. szept</t>
  </si>
  <si>
    <t>2005. márc</t>
  </si>
  <si>
    <t>2005. szept</t>
  </si>
  <si>
    <t>1,8,8</t>
  </si>
  <si>
    <t>2008. okt</t>
  </si>
  <si>
    <t>2006 ápr.</t>
  </si>
  <si>
    <t>2007. ápr.</t>
  </si>
  <si>
    <t>2008. ápr.</t>
  </si>
  <si>
    <t>2009 ápr.</t>
  </si>
  <si>
    <t>2009 okt.</t>
  </si>
  <si>
    <t>2010 ápr.</t>
  </si>
  <si>
    <t>2010 okt.</t>
  </si>
  <si>
    <t>Ciprus</t>
  </si>
  <si>
    <t>Csehország</t>
  </si>
  <si>
    <t>Luxemburg</t>
  </si>
  <si>
    <t>2011. ápr.</t>
  </si>
  <si>
    <t>Forrás: Eurostat</t>
  </si>
  <si>
    <t>2011. okt.</t>
  </si>
  <si>
    <t>2012 ápr.</t>
  </si>
  <si>
    <t>EURO-zóna</t>
  </si>
  <si>
    <t>n.a</t>
  </si>
  <si>
    <t>Egyesült Királyság*</t>
  </si>
  <si>
    <t>n.a.</t>
  </si>
  <si>
    <t>Mószertani kategória: Nettó hitelfelvétel/kölcsönnyújtás  (kód: B9n(EDP))</t>
  </si>
  <si>
    <t xml:space="preserve">Módszertani kategória: maastrichti adósság névértéken </t>
  </si>
  <si>
    <t>Megjegyzés: az Eurostat a tárgyévi várható adatokra nem kalkulál EU-aggregátumokat.</t>
  </si>
  <si>
    <t>2012 okt.</t>
  </si>
  <si>
    <t>2012 okt</t>
  </si>
  <si>
    <t>2013 ápr.</t>
  </si>
  <si>
    <t>* Naptári évre átszámolt adatok</t>
  </si>
  <si>
    <t>2013 okt.</t>
  </si>
  <si>
    <t>EU-28</t>
  </si>
  <si>
    <t>Horvátország</t>
  </si>
  <si>
    <t>2014. ápr.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</si>
</sst>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</numFmts>
  <fonts count="59">
    <font>
      <sz val="10"/>
      <name val="Arial CE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4"/>
      <name val="Arial CE"/>
      <family val="2"/>
    </font>
    <font>
      <b/>
      <sz val="10"/>
      <color indexed="40"/>
      <name val="Arial CE"/>
      <family val="2"/>
    </font>
    <font>
      <b/>
      <sz val="10"/>
      <color indexed="12"/>
      <name val="Arial CE"/>
      <family val="0"/>
    </font>
    <font>
      <b/>
      <sz val="10"/>
      <color indexed="10"/>
      <name val="Arial CE"/>
      <family val="0"/>
    </font>
    <font>
      <sz val="10"/>
      <color indexed="14"/>
      <name val="Arial CE"/>
      <family val="2"/>
    </font>
    <font>
      <b/>
      <sz val="10"/>
      <color indexed="17"/>
      <name val="Arial CE"/>
      <family val="2"/>
    </font>
    <font>
      <sz val="10"/>
      <color indexed="40"/>
      <name val="Arial CE"/>
      <family val="2"/>
    </font>
    <font>
      <b/>
      <sz val="10"/>
      <color indexed="60"/>
      <name val="Arial CE"/>
      <family val="2"/>
    </font>
    <font>
      <sz val="10"/>
      <color indexed="6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30"/>
      <name val="Arial CE"/>
      <family val="0"/>
    </font>
    <font>
      <sz val="10"/>
      <color indexed="53"/>
      <name val="Arial CE"/>
      <family val="0"/>
    </font>
    <font>
      <b/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70C0"/>
      <name val="Arial CE"/>
      <family val="0"/>
    </font>
    <font>
      <sz val="10"/>
      <color theme="9" tint="-0.24997000396251678"/>
      <name val="Arial CE"/>
      <family val="0"/>
    </font>
    <font>
      <b/>
      <sz val="10"/>
      <color theme="9" tint="-0.24997000396251678"/>
      <name val="Arial CE"/>
      <family val="0"/>
    </font>
    <font>
      <b/>
      <sz val="10"/>
      <color theme="5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double"/>
    </border>
    <border>
      <left style="medium"/>
      <right style="thick"/>
      <top style="medium"/>
      <bottom style="medium"/>
    </border>
    <border>
      <left style="thin"/>
      <right style="thick"/>
      <top style="thin"/>
      <bottom style="double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ck"/>
      <right style="thick"/>
      <top style="medium"/>
      <bottom style="medium"/>
    </border>
    <border>
      <left style="medium"/>
      <right style="thick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double"/>
      <bottom style="thin"/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double"/>
      <bottom style="thin"/>
    </border>
    <border>
      <left style="thick"/>
      <right style="thick"/>
      <top style="double"/>
      <bottom style="double"/>
    </border>
    <border>
      <left style="medium"/>
      <right style="thick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164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0" fontId="8" fillId="0" borderId="16" xfId="0" applyFont="1" applyBorder="1" applyAlignment="1">
      <alignment horizontal="center" wrapText="1"/>
    </xf>
    <xf numFmtId="164" fontId="4" fillId="0" borderId="0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27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0" fillId="0" borderId="28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27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10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1" fillId="0" borderId="27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164" fontId="11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164" fontId="1" fillId="0" borderId="30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0" fontId="0" fillId="0" borderId="16" xfId="0" applyFont="1" applyBorder="1" applyAlignment="1">
      <alignment horizontal="center" wrapText="1"/>
    </xf>
    <xf numFmtId="164" fontId="4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5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164" fontId="12" fillId="0" borderId="25" xfId="0" applyNumberFormat="1" applyFont="1" applyBorder="1" applyAlignment="1">
      <alignment/>
    </xf>
    <xf numFmtId="164" fontId="12" fillId="0" borderId="26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12" fillId="0" borderId="13" xfId="0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3" fillId="0" borderId="16" xfId="0" applyFont="1" applyBorder="1" applyAlignment="1">
      <alignment horizontal="center" wrapText="1"/>
    </xf>
    <xf numFmtId="164" fontId="13" fillId="0" borderId="24" xfId="0" applyNumberFormat="1" applyFont="1" applyBorder="1" applyAlignment="1">
      <alignment/>
    </xf>
    <xf numFmtId="164" fontId="13" fillId="0" borderId="38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13" fillId="0" borderId="39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23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3" fillId="0" borderId="4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164" fontId="13" fillId="0" borderId="0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38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9" fillId="0" borderId="28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9" fillId="0" borderId="27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41" xfId="0" applyNumberFormat="1" applyFont="1" applyBorder="1" applyAlignment="1">
      <alignment/>
    </xf>
    <xf numFmtId="164" fontId="9" fillId="0" borderId="42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14" fillId="0" borderId="24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25" xfId="0" applyNumberFormat="1" applyFont="1" applyBorder="1" applyAlignment="1">
      <alignment/>
    </xf>
    <xf numFmtId="164" fontId="14" fillId="0" borderId="28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28" xfId="0" applyFont="1" applyBorder="1" applyAlignment="1">
      <alignment/>
    </xf>
    <xf numFmtId="164" fontId="14" fillId="0" borderId="13" xfId="0" applyNumberFormat="1" applyFont="1" applyBorder="1" applyAlignment="1">
      <alignment/>
    </xf>
    <xf numFmtId="0" fontId="13" fillId="0" borderId="43" xfId="0" applyFont="1" applyBorder="1" applyAlignment="1">
      <alignment horizontal="center" wrapText="1"/>
    </xf>
    <xf numFmtId="164" fontId="14" fillId="0" borderId="26" xfId="0" applyNumberFormat="1" applyFont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41" xfId="0" applyNumberFormat="1" applyFont="1" applyBorder="1" applyAlignment="1">
      <alignment/>
    </xf>
    <xf numFmtId="0" fontId="15" fillId="0" borderId="16" xfId="0" applyFont="1" applyBorder="1" applyAlignment="1">
      <alignment horizontal="center" wrapText="1"/>
    </xf>
    <xf numFmtId="164" fontId="15" fillId="0" borderId="0" xfId="0" applyNumberFormat="1" applyFont="1" applyBorder="1" applyAlignment="1">
      <alignment/>
    </xf>
    <xf numFmtId="164" fontId="15" fillId="0" borderId="25" xfId="0" applyNumberFormat="1" applyFont="1" applyBorder="1" applyAlignment="1">
      <alignment/>
    </xf>
    <xf numFmtId="164" fontId="15" fillId="0" borderId="28" xfId="0" applyNumberFormat="1" applyFont="1" applyBorder="1" applyAlignment="1">
      <alignment/>
    </xf>
    <xf numFmtId="164" fontId="15" fillId="0" borderId="13" xfId="0" applyNumberFormat="1" applyFont="1" applyBorder="1" applyAlignment="1">
      <alignment/>
    </xf>
    <xf numFmtId="164" fontId="15" fillId="0" borderId="27" xfId="0" applyNumberFormat="1" applyFont="1" applyBorder="1" applyAlignment="1">
      <alignment/>
    </xf>
    <xf numFmtId="164" fontId="15" fillId="0" borderId="24" xfId="0" applyNumberFormat="1" applyFont="1" applyBorder="1" applyAlignment="1">
      <alignment/>
    </xf>
    <xf numFmtId="164" fontId="15" fillId="0" borderId="26" xfId="0" applyNumberFormat="1" applyFont="1" applyBorder="1" applyAlignment="1">
      <alignment/>
    </xf>
    <xf numFmtId="164" fontId="15" fillId="0" borderId="41" xfId="0" applyNumberFormat="1" applyFont="1" applyBorder="1" applyAlignment="1">
      <alignment/>
    </xf>
    <xf numFmtId="164" fontId="15" fillId="0" borderId="44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164" fontId="15" fillId="0" borderId="42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25" xfId="0" applyNumberFormat="1" applyFont="1" applyBorder="1" applyAlignment="1">
      <alignment/>
    </xf>
    <xf numFmtId="164" fontId="16" fillId="0" borderId="26" xfId="0" applyNumberFormat="1" applyFont="1" applyBorder="1" applyAlignment="1">
      <alignment/>
    </xf>
    <xf numFmtId="164" fontId="16" fillId="0" borderId="24" xfId="0" applyNumberFormat="1" applyFont="1" applyBorder="1" applyAlignment="1">
      <alignment/>
    </xf>
    <xf numFmtId="164" fontId="16" fillId="0" borderId="28" xfId="0" applyNumberFormat="1" applyFont="1" applyBorder="1" applyAlignment="1">
      <alignment/>
    </xf>
    <xf numFmtId="0" fontId="16" fillId="0" borderId="28" xfId="0" applyFont="1" applyBorder="1" applyAlignment="1">
      <alignment/>
    </xf>
    <xf numFmtId="164" fontId="16" fillId="0" borderId="41" xfId="0" applyNumberFormat="1" applyFont="1" applyBorder="1" applyAlignment="1">
      <alignment/>
    </xf>
    <xf numFmtId="164" fontId="16" fillId="0" borderId="44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5" fillId="0" borderId="12" xfId="0" applyNumberFormat="1" applyFont="1" applyBorder="1" applyAlignment="1">
      <alignment/>
    </xf>
    <xf numFmtId="164" fontId="15" fillId="0" borderId="39" xfId="0" applyNumberFormat="1" applyFont="1" applyBorder="1" applyAlignment="1">
      <alignment/>
    </xf>
    <xf numFmtId="164" fontId="15" fillId="0" borderId="38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16" fillId="0" borderId="15" xfId="0" applyNumberFormat="1" applyFont="1" applyBorder="1" applyAlignment="1">
      <alignment/>
    </xf>
    <xf numFmtId="164" fontId="16" fillId="0" borderId="23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0" fontId="16" fillId="0" borderId="12" xfId="0" applyFont="1" applyBorder="1" applyAlignment="1">
      <alignment/>
    </xf>
    <xf numFmtId="164" fontId="16" fillId="0" borderId="38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0" fontId="15" fillId="0" borderId="34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164" fontId="10" fillId="0" borderId="15" xfId="0" applyNumberFormat="1" applyFont="1" applyBorder="1" applyAlignment="1">
      <alignment/>
    </xf>
    <xf numFmtId="164" fontId="10" fillId="0" borderId="42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46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25" xfId="0" applyNumberFormat="1" applyFont="1" applyBorder="1" applyAlignment="1">
      <alignment/>
    </xf>
    <xf numFmtId="164" fontId="16" fillId="0" borderId="24" xfId="0" applyNumberFormat="1" applyFont="1" applyBorder="1" applyAlignment="1">
      <alignment/>
    </xf>
    <xf numFmtId="164" fontId="16" fillId="0" borderId="26" xfId="0" applyNumberFormat="1" applyFont="1" applyBorder="1" applyAlignment="1">
      <alignment/>
    </xf>
    <xf numFmtId="164" fontId="16" fillId="0" borderId="28" xfId="0" applyNumberFormat="1" applyFont="1" applyBorder="1" applyAlignment="1">
      <alignment/>
    </xf>
    <xf numFmtId="164" fontId="9" fillId="0" borderId="45" xfId="0" applyNumberFormat="1" applyFont="1" applyBorder="1" applyAlignment="1">
      <alignment horizontal="center" wrapText="1"/>
    </xf>
    <xf numFmtId="164" fontId="1" fillId="0" borderId="47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0" fillId="0" borderId="41" xfId="0" applyNumberFormat="1" applyFont="1" applyBorder="1" applyAlignment="1">
      <alignment/>
    </xf>
    <xf numFmtId="0" fontId="10" fillId="0" borderId="16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1" fillId="0" borderId="34" xfId="0" applyFont="1" applyFill="1" applyBorder="1" applyAlignment="1">
      <alignment horizontal="center" wrapText="1"/>
    </xf>
    <xf numFmtId="164" fontId="11" fillId="0" borderId="47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164" fontId="11" fillId="0" borderId="42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 wrapText="1"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41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25" xfId="0" applyNumberFormat="1" applyFont="1" applyBorder="1" applyAlignment="1">
      <alignment/>
    </xf>
    <xf numFmtId="164" fontId="11" fillId="0" borderId="41" xfId="0" applyNumberFormat="1" applyFont="1" applyBorder="1" applyAlignment="1">
      <alignment/>
    </xf>
    <xf numFmtId="164" fontId="11" fillId="0" borderId="28" xfId="0" applyNumberFormat="1" applyFont="1" applyBorder="1" applyAlignment="1">
      <alignment/>
    </xf>
    <xf numFmtId="164" fontId="11" fillId="0" borderId="15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11" fillId="0" borderId="25" xfId="0" applyNumberFormat="1" applyFont="1" applyFill="1" applyBorder="1" applyAlignment="1">
      <alignment/>
    </xf>
    <xf numFmtId="164" fontId="11" fillId="0" borderId="41" xfId="0" applyNumberFormat="1" applyFont="1" applyBorder="1" applyAlignment="1">
      <alignment/>
    </xf>
    <xf numFmtId="164" fontId="11" fillId="0" borderId="28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49" xfId="0" applyNumberFormat="1" applyFont="1" applyBorder="1" applyAlignment="1">
      <alignment/>
    </xf>
    <xf numFmtId="0" fontId="13" fillId="0" borderId="34" xfId="0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47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5" xfId="0" applyNumberFormat="1" applyFont="1" applyFill="1" applyBorder="1" applyAlignment="1">
      <alignment/>
    </xf>
    <xf numFmtId="164" fontId="13" fillId="0" borderId="41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3" fillId="0" borderId="50" xfId="0" applyNumberFormat="1" applyFont="1" applyBorder="1" applyAlignment="1">
      <alignment/>
    </xf>
    <xf numFmtId="0" fontId="13" fillId="0" borderId="16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3" fillId="0" borderId="28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0" fontId="55" fillId="0" borderId="34" xfId="0" applyFont="1" applyFill="1" applyBorder="1" applyAlignment="1">
      <alignment horizontal="center" wrapText="1"/>
    </xf>
    <xf numFmtId="164" fontId="55" fillId="0" borderId="47" xfId="0" applyNumberFormat="1" applyFont="1" applyBorder="1" applyAlignment="1">
      <alignment/>
    </xf>
    <xf numFmtId="164" fontId="55" fillId="0" borderId="15" xfId="0" applyNumberFormat="1" applyFont="1" applyBorder="1" applyAlignment="1">
      <alignment/>
    </xf>
    <xf numFmtId="164" fontId="55" fillId="0" borderId="42" xfId="0" applyNumberFormat="1" applyFont="1" applyFill="1" applyBorder="1" applyAlignment="1">
      <alignment/>
    </xf>
    <xf numFmtId="164" fontId="55" fillId="0" borderId="11" xfId="0" applyNumberFormat="1" applyFont="1" applyBorder="1" applyAlignment="1">
      <alignment/>
    </xf>
    <xf numFmtId="164" fontId="55" fillId="0" borderId="42" xfId="0" applyNumberFormat="1" applyFont="1" applyBorder="1" applyAlignment="1">
      <alignment/>
    </xf>
    <xf numFmtId="0" fontId="0" fillId="0" borderId="51" xfId="0" applyBorder="1" applyAlignment="1">
      <alignment/>
    </xf>
    <xf numFmtId="164" fontId="3" fillId="0" borderId="28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55" fillId="0" borderId="48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17" fillId="0" borderId="50" xfId="0" applyFont="1" applyBorder="1" applyAlignment="1">
      <alignment/>
    </xf>
    <xf numFmtId="164" fontId="55" fillId="0" borderId="0" xfId="0" applyNumberFormat="1" applyFont="1" applyBorder="1" applyAlignment="1">
      <alignment/>
    </xf>
    <xf numFmtId="164" fontId="55" fillId="0" borderId="25" xfId="0" applyNumberFormat="1" applyFont="1" applyBorder="1" applyAlignment="1">
      <alignment/>
    </xf>
    <xf numFmtId="164" fontId="55" fillId="0" borderId="0" xfId="0" applyNumberFormat="1" applyFont="1" applyFill="1" applyBorder="1" applyAlignment="1">
      <alignment/>
    </xf>
    <xf numFmtId="164" fontId="55" fillId="0" borderId="28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34" xfId="0" applyFont="1" applyFill="1" applyBorder="1" applyAlignment="1">
      <alignment horizontal="center" wrapText="1"/>
    </xf>
    <xf numFmtId="164" fontId="57" fillId="0" borderId="0" xfId="0" applyNumberFormat="1" applyFont="1" applyBorder="1" applyAlignment="1">
      <alignment/>
    </xf>
    <xf numFmtId="164" fontId="57" fillId="0" borderId="50" xfId="0" applyNumberFormat="1" applyFont="1" applyBorder="1" applyAlignment="1">
      <alignment/>
    </xf>
    <xf numFmtId="164" fontId="55" fillId="0" borderId="53" xfId="0" applyNumberFormat="1" applyFont="1" applyBorder="1" applyAlignment="1">
      <alignment/>
    </xf>
    <xf numFmtId="164" fontId="57" fillId="0" borderId="54" xfId="0" applyNumberFormat="1" applyFont="1" applyBorder="1" applyAlignment="1">
      <alignment/>
    </xf>
    <xf numFmtId="164" fontId="57" fillId="0" borderId="19" xfId="0" applyNumberFormat="1" applyFont="1" applyBorder="1" applyAlignment="1">
      <alignment/>
    </xf>
    <xf numFmtId="164" fontId="57" fillId="0" borderId="21" xfId="0" applyNumberFormat="1" applyFont="1" applyBorder="1" applyAlignment="1">
      <alignment/>
    </xf>
    <xf numFmtId="164" fontId="55" fillId="0" borderId="41" xfId="0" applyNumberFormat="1" applyFont="1" applyBorder="1" applyAlignment="1">
      <alignment/>
    </xf>
    <xf numFmtId="164" fontId="55" fillId="0" borderId="27" xfId="0" applyNumberFormat="1" applyFont="1" applyBorder="1" applyAlignment="1">
      <alignment/>
    </xf>
    <xf numFmtId="164" fontId="57" fillId="0" borderId="51" xfId="0" applyNumberFormat="1" applyFont="1" applyBorder="1" applyAlignment="1">
      <alignment/>
    </xf>
    <xf numFmtId="0" fontId="57" fillId="0" borderId="55" xfId="0" applyFont="1" applyFill="1" applyBorder="1" applyAlignment="1">
      <alignment horizontal="center" wrapText="1"/>
    </xf>
    <xf numFmtId="164" fontId="57" fillId="0" borderId="19" xfId="0" applyNumberFormat="1" applyFont="1" applyFill="1" applyBorder="1" applyAlignment="1">
      <alignment/>
    </xf>
    <xf numFmtId="0" fontId="57" fillId="0" borderId="16" xfId="0" applyFont="1" applyFill="1" applyBorder="1" applyAlignment="1">
      <alignment horizontal="center" wrapText="1"/>
    </xf>
    <xf numFmtId="164" fontId="57" fillId="0" borderId="38" xfId="0" applyNumberFormat="1" applyFont="1" applyBorder="1" applyAlignment="1">
      <alignment/>
    </xf>
    <xf numFmtId="164" fontId="57" fillId="0" borderId="15" xfId="0" applyNumberFormat="1" applyFont="1" applyBorder="1" applyAlignment="1">
      <alignment/>
    </xf>
    <xf numFmtId="164" fontId="57" fillId="0" borderId="15" xfId="0" applyNumberFormat="1" applyFont="1" applyFill="1" applyBorder="1" applyAlignment="1">
      <alignment/>
    </xf>
    <xf numFmtId="164" fontId="57" fillId="0" borderId="42" xfId="0" applyNumberFormat="1" applyFont="1" applyBorder="1" applyAlignment="1">
      <alignment/>
    </xf>
    <xf numFmtId="164" fontId="57" fillId="0" borderId="11" xfId="0" applyNumberFormat="1" applyFont="1" applyBorder="1" applyAlignment="1">
      <alignment/>
    </xf>
    <xf numFmtId="164" fontId="57" fillId="0" borderId="47" xfId="0" applyNumberFormat="1" applyFont="1" applyBorder="1" applyAlignment="1">
      <alignment/>
    </xf>
    <xf numFmtId="164" fontId="57" fillId="0" borderId="48" xfId="0" applyNumberFormat="1" applyFont="1" applyBorder="1" applyAlignment="1">
      <alignment/>
    </xf>
    <xf numFmtId="164" fontId="57" fillId="0" borderId="10" xfId="0" applyNumberFormat="1" applyFont="1" applyBorder="1" applyAlignment="1">
      <alignment/>
    </xf>
    <xf numFmtId="164" fontId="57" fillId="0" borderId="23" xfId="0" applyNumberFormat="1" applyFont="1" applyBorder="1" applyAlignment="1">
      <alignment/>
    </xf>
    <xf numFmtId="164" fontId="57" fillId="0" borderId="56" xfId="0" applyNumberFormat="1" applyFont="1" applyBorder="1" applyAlignment="1">
      <alignment/>
    </xf>
    <xf numFmtId="164" fontId="57" fillId="0" borderId="12" xfId="0" applyNumberFormat="1" applyFont="1" applyBorder="1" applyAlignment="1">
      <alignment/>
    </xf>
    <xf numFmtId="164" fontId="57" fillId="0" borderId="42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55" fillId="0" borderId="23" xfId="0" applyNumberFormat="1" applyFont="1" applyBorder="1" applyAlignment="1">
      <alignment/>
    </xf>
    <xf numFmtId="164" fontId="55" fillId="0" borderId="26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55" fillId="0" borderId="12" xfId="0" applyNumberFormat="1" applyFont="1" applyBorder="1" applyAlignment="1">
      <alignment/>
    </xf>
    <xf numFmtId="164" fontId="55" fillId="0" borderId="13" xfId="0" applyNumberFormat="1" applyFont="1" applyBorder="1" applyAlignment="1">
      <alignment/>
    </xf>
    <xf numFmtId="164" fontId="13" fillId="0" borderId="13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4" fontId="4" fillId="0" borderId="4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2" xfId="0" applyFont="1" applyBorder="1" applyAlignment="1">
      <alignment/>
    </xf>
    <xf numFmtId="164" fontId="13" fillId="0" borderId="42" xfId="0" applyNumberFormat="1" applyFont="1" applyBorder="1" applyAlignment="1">
      <alignment/>
    </xf>
    <xf numFmtId="164" fontId="1" fillId="0" borderId="5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6" fillId="0" borderId="4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8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164" fontId="1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164" fontId="57" fillId="0" borderId="0" xfId="0" applyNumberFormat="1" applyFont="1" applyFill="1" applyBorder="1" applyAlignment="1">
      <alignment/>
    </xf>
    <xf numFmtId="164" fontId="57" fillId="0" borderId="25" xfId="0" applyNumberFormat="1" applyFont="1" applyBorder="1" applyAlignment="1">
      <alignment/>
    </xf>
    <xf numFmtId="164" fontId="57" fillId="0" borderId="25" xfId="0" applyNumberFormat="1" applyFont="1" applyFill="1" applyBorder="1" applyAlignment="1">
      <alignment/>
    </xf>
    <xf numFmtId="164" fontId="57" fillId="0" borderId="28" xfId="0" applyNumberFormat="1" applyFont="1" applyBorder="1" applyAlignment="1">
      <alignment/>
    </xf>
    <xf numFmtId="164" fontId="57" fillId="0" borderId="41" xfId="0" applyNumberFormat="1" applyFont="1" applyBorder="1" applyAlignment="1">
      <alignment/>
    </xf>
    <xf numFmtId="0" fontId="57" fillId="0" borderId="45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58" fillId="0" borderId="60" xfId="0" applyFont="1" applyFill="1" applyBorder="1" applyAlignment="1">
      <alignment horizontal="center" wrapText="1"/>
    </xf>
    <xf numFmtId="164" fontId="57" fillId="0" borderId="60" xfId="0" applyNumberFormat="1" applyFont="1" applyBorder="1" applyAlignment="1">
      <alignment/>
    </xf>
    <xf numFmtId="164" fontId="57" fillId="0" borderId="61" xfId="0" applyNumberFormat="1" applyFont="1" applyBorder="1" applyAlignment="1">
      <alignment/>
    </xf>
    <xf numFmtId="164" fontId="57" fillId="0" borderId="62" xfId="0" applyNumberFormat="1" applyFont="1" applyBorder="1" applyAlignment="1">
      <alignment/>
    </xf>
    <xf numFmtId="0" fontId="58" fillId="0" borderId="63" xfId="0" applyFont="1" applyFill="1" applyBorder="1" applyAlignment="1">
      <alignment horizontal="center" wrapText="1"/>
    </xf>
    <xf numFmtId="164" fontId="57" fillId="0" borderId="53" xfId="0" applyNumberFormat="1" applyFont="1" applyBorder="1" applyAlignment="1">
      <alignment/>
    </xf>
    <xf numFmtId="164" fontId="57" fillId="0" borderId="24" xfId="0" applyNumberFormat="1" applyFont="1" applyBorder="1" applyAlignment="1">
      <alignment/>
    </xf>
    <xf numFmtId="164" fontId="58" fillId="0" borderId="60" xfId="0" applyNumberFormat="1" applyFont="1" applyBorder="1" applyAlignment="1">
      <alignment/>
    </xf>
    <xf numFmtId="164" fontId="58" fillId="0" borderId="61" xfId="0" applyNumberFormat="1" applyFont="1" applyBorder="1" applyAlignment="1">
      <alignment/>
    </xf>
    <xf numFmtId="164" fontId="58" fillId="0" borderId="61" xfId="0" applyNumberFormat="1" applyFont="1" applyFill="1" applyBorder="1" applyAlignment="1">
      <alignment/>
    </xf>
    <xf numFmtId="164" fontId="58" fillId="0" borderId="62" xfId="0" applyNumberFormat="1" applyFont="1" applyBorder="1" applyAlignment="1">
      <alignment/>
    </xf>
    <xf numFmtId="164" fontId="58" fillId="0" borderId="64" xfId="0" applyNumberFormat="1" applyFont="1" applyBorder="1" applyAlignment="1">
      <alignment/>
    </xf>
    <xf numFmtId="0" fontId="4" fillId="33" borderId="65" xfId="0" applyFont="1" applyFill="1" applyBorder="1" applyAlignment="1">
      <alignment horizontal="center"/>
    </xf>
    <xf numFmtId="164" fontId="9" fillId="0" borderId="16" xfId="0" applyNumberFormat="1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horizontal="center" wrapText="1"/>
    </xf>
    <xf numFmtId="0" fontId="57" fillId="0" borderId="40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164" fontId="2" fillId="0" borderId="42" xfId="0" applyNumberFormat="1" applyFont="1" applyFill="1" applyBorder="1" applyAlignment="1">
      <alignment/>
    </xf>
    <xf numFmtId="0" fontId="0" fillId="33" borderId="66" xfId="0" applyFill="1" applyBorder="1" applyAlignment="1">
      <alignment/>
    </xf>
    <xf numFmtId="164" fontId="57" fillId="0" borderId="30" xfId="0" applyNumberFormat="1" applyFont="1" applyBorder="1" applyAlignment="1">
      <alignment/>
    </xf>
    <xf numFmtId="164" fontId="57" fillId="0" borderId="26" xfId="0" applyNumberFormat="1" applyFont="1" applyBorder="1" applyAlignment="1">
      <alignment/>
    </xf>
    <xf numFmtId="164" fontId="57" fillId="0" borderId="44" xfId="0" applyNumberFormat="1" applyFont="1" applyBorder="1" applyAlignment="1">
      <alignment/>
    </xf>
    <xf numFmtId="164" fontId="57" fillId="0" borderId="13" xfId="0" applyNumberFormat="1" applyFont="1" applyBorder="1" applyAlignment="1">
      <alignment/>
    </xf>
    <xf numFmtId="0" fontId="57" fillId="0" borderId="18" xfId="0" applyFont="1" applyFill="1" applyBorder="1" applyAlignment="1">
      <alignment horizontal="center" wrapText="1"/>
    </xf>
    <xf numFmtId="0" fontId="57" fillId="0" borderId="67" xfId="0" applyFont="1" applyFill="1" applyBorder="1" applyAlignment="1">
      <alignment horizontal="center" wrapText="1"/>
    </xf>
    <xf numFmtId="0" fontId="58" fillId="0" borderId="68" xfId="0" applyFont="1" applyFill="1" applyBorder="1" applyAlignment="1">
      <alignment horizontal="center" wrapText="1"/>
    </xf>
    <xf numFmtId="164" fontId="57" fillId="0" borderId="69" xfId="0" applyNumberFormat="1" applyFont="1" applyBorder="1" applyAlignment="1">
      <alignment/>
    </xf>
    <xf numFmtId="164" fontId="57" fillId="0" borderId="70" xfId="0" applyNumberFormat="1" applyFont="1" applyBorder="1" applyAlignment="1">
      <alignment/>
    </xf>
    <xf numFmtId="0" fontId="58" fillId="0" borderId="65" xfId="0" applyFont="1" applyFill="1" applyBorder="1" applyAlignment="1">
      <alignment horizontal="center" wrapText="1"/>
    </xf>
    <xf numFmtId="0" fontId="4" fillId="33" borderId="71" xfId="0" applyFont="1" applyFill="1" applyBorder="1" applyAlignment="1">
      <alignment horizontal="center"/>
    </xf>
    <xf numFmtId="0" fontId="58" fillId="0" borderId="72" xfId="0" applyFont="1" applyFill="1" applyBorder="1" applyAlignment="1">
      <alignment horizontal="center" wrapText="1"/>
    </xf>
    <xf numFmtId="0" fontId="58" fillId="0" borderId="73" xfId="0" applyFont="1" applyFill="1" applyBorder="1" applyAlignment="1">
      <alignment horizontal="center" wrapText="1"/>
    </xf>
    <xf numFmtId="164" fontId="58" fillId="0" borderId="74" xfId="0" applyNumberFormat="1" applyFont="1" applyBorder="1" applyAlignment="1">
      <alignment/>
    </xf>
    <xf numFmtId="164" fontId="58" fillId="0" borderId="69" xfId="0" applyNumberFormat="1" applyFont="1" applyBorder="1" applyAlignment="1">
      <alignment/>
    </xf>
    <xf numFmtId="164" fontId="58" fillId="0" borderId="75" xfId="0" applyNumberFormat="1" applyFont="1" applyBorder="1" applyAlignment="1">
      <alignment/>
    </xf>
    <xf numFmtId="164" fontId="58" fillId="0" borderId="70" xfId="0" applyNumberFormat="1" applyFont="1" applyBorder="1" applyAlignment="1">
      <alignment/>
    </xf>
    <xf numFmtId="164" fontId="58" fillId="0" borderId="68" xfId="0" applyNumberFormat="1" applyFont="1" applyBorder="1" applyAlignment="1">
      <alignment/>
    </xf>
    <xf numFmtId="164" fontId="58" fillId="0" borderId="76" xfId="0" applyNumberFormat="1" applyFont="1" applyBorder="1" applyAlignment="1">
      <alignment/>
    </xf>
    <xf numFmtId="164" fontId="58" fillId="0" borderId="77" xfId="0" applyNumberFormat="1" applyFont="1" applyBorder="1" applyAlignment="1">
      <alignment/>
    </xf>
    <xf numFmtId="164" fontId="58" fillId="0" borderId="78" xfId="0" applyNumberFormat="1" applyFont="1" applyBorder="1" applyAlignment="1">
      <alignment/>
    </xf>
    <xf numFmtId="164" fontId="58" fillId="0" borderId="60" xfId="0" applyNumberFormat="1" applyFont="1" applyFill="1" applyBorder="1" applyAlignment="1">
      <alignment/>
    </xf>
    <xf numFmtId="164" fontId="58" fillId="0" borderId="79" xfId="0" applyNumberFormat="1" applyFont="1" applyBorder="1" applyAlignment="1">
      <alignment/>
    </xf>
    <xf numFmtId="0" fontId="57" fillId="0" borderId="59" xfId="0" applyFont="1" applyFill="1" applyBorder="1" applyAlignment="1">
      <alignment horizontal="center" wrapText="1"/>
    </xf>
    <xf numFmtId="164" fontId="57" fillId="0" borderId="60" xfId="0" applyNumberFormat="1" applyFont="1" applyFill="1" applyBorder="1" applyAlignment="1">
      <alignment/>
    </xf>
    <xf numFmtId="0" fontId="58" fillId="0" borderId="80" xfId="0" applyFont="1" applyFill="1" applyBorder="1" applyAlignment="1">
      <alignment horizontal="center" wrapText="1"/>
    </xf>
    <xf numFmtId="0" fontId="4" fillId="0" borderId="81" xfId="0" applyFont="1" applyBorder="1" applyAlignment="1">
      <alignment/>
    </xf>
    <xf numFmtId="0" fontId="58" fillId="0" borderId="82" xfId="0" applyFont="1" applyFill="1" applyBorder="1" applyAlignment="1">
      <alignment horizontal="center" wrapText="1"/>
    </xf>
    <xf numFmtId="164" fontId="58" fillId="0" borderId="83" xfId="0" applyNumberFormat="1" applyFont="1" applyBorder="1" applyAlignment="1">
      <alignment/>
    </xf>
    <xf numFmtId="0" fontId="58" fillId="0" borderId="84" xfId="0" applyFont="1" applyBorder="1" applyAlignment="1">
      <alignment/>
    </xf>
    <xf numFmtId="164" fontId="58" fillId="0" borderId="85" xfId="0" applyNumberFormat="1" applyFont="1" applyBorder="1" applyAlignment="1">
      <alignment/>
    </xf>
    <xf numFmtId="164" fontId="58" fillId="0" borderId="86" xfId="0" applyNumberFormat="1" applyFont="1" applyBorder="1" applyAlignment="1">
      <alignment/>
    </xf>
    <xf numFmtId="164" fontId="58" fillId="0" borderId="87" xfId="0" applyNumberFormat="1" applyFont="1" applyBorder="1" applyAlignment="1">
      <alignment/>
    </xf>
    <xf numFmtId="164" fontId="58" fillId="0" borderId="88" xfId="0" applyNumberFormat="1" applyFont="1" applyBorder="1" applyAlignment="1">
      <alignment/>
    </xf>
    <xf numFmtId="0" fontId="11" fillId="0" borderId="59" xfId="0" applyFont="1" applyFill="1" applyBorder="1" applyAlignment="1">
      <alignment horizontal="center" wrapText="1"/>
    </xf>
    <xf numFmtId="0" fontId="57" fillId="0" borderId="89" xfId="0" applyFont="1" applyFill="1" applyBorder="1" applyAlignment="1">
      <alignment horizontal="center" wrapText="1"/>
    </xf>
    <xf numFmtId="164" fontId="57" fillId="0" borderId="90" xfId="0" applyNumberFormat="1" applyFont="1" applyBorder="1" applyAlignment="1">
      <alignment/>
    </xf>
    <xf numFmtId="0" fontId="55" fillId="0" borderId="89" xfId="0" applyFont="1" applyFill="1" applyBorder="1" applyAlignment="1">
      <alignment horizontal="center" wrapText="1"/>
    </xf>
    <xf numFmtId="164" fontId="55" fillId="0" borderId="82" xfId="0" applyNumberFormat="1" applyFont="1" applyBorder="1" applyAlignment="1">
      <alignment/>
    </xf>
    <xf numFmtId="164" fontId="55" fillId="0" borderId="91" xfId="0" applyNumberFormat="1" applyFont="1" applyBorder="1" applyAlignment="1">
      <alignment/>
    </xf>
    <xf numFmtId="164" fontId="55" fillId="0" borderId="68" xfId="0" applyNumberFormat="1" applyFont="1" applyFill="1" applyBorder="1" applyAlignment="1">
      <alignment/>
    </xf>
    <xf numFmtId="164" fontId="55" fillId="0" borderId="77" xfId="0" applyNumberFormat="1" applyFont="1" applyBorder="1" applyAlignment="1">
      <alignment/>
    </xf>
    <xf numFmtId="164" fontId="55" fillId="0" borderId="68" xfId="0" applyNumberFormat="1" applyFont="1" applyBorder="1" applyAlignment="1">
      <alignment/>
    </xf>
    <xf numFmtId="164" fontId="55" fillId="0" borderId="92" xfId="0" applyNumberFormat="1" applyFont="1" applyBorder="1" applyAlignment="1">
      <alignment/>
    </xf>
    <xf numFmtId="164" fontId="55" fillId="0" borderId="78" xfId="0" applyNumberFormat="1" applyFont="1" applyBorder="1" applyAlignment="1">
      <alignment/>
    </xf>
    <xf numFmtId="164" fontId="58" fillId="0" borderId="93" xfId="0" applyNumberFormat="1" applyFont="1" applyBorder="1" applyAlignment="1">
      <alignment/>
    </xf>
    <xf numFmtId="164" fontId="58" fillId="0" borderId="94" xfId="0" applyNumberFormat="1" applyFont="1" applyBorder="1" applyAlignment="1">
      <alignment/>
    </xf>
    <xf numFmtId="164" fontId="58" fillId="0" borderId="91" xfId="0" applyNumberFormat="1" applyFont="1" applyBorder="1" applyAlignment="1">
      <alignment/>
    </xf>
    <xf numFmtId="164" fontId="58" fillId="0" borderId="91" xfId="0" applyNumberFormat="1" applyFont="1" applyFill="1" applyBorder="1" applyAlignment="1">
      <alignment/>
    </xf>
    <xf numFmtId="164" fontId="58" fillId="0" borderId="95" xfId="0" applyNumberFormat="1" applyFont="1" applyBorder="1" applyAlignment="1">
      <alignment/>
    </xf>
    <xf numFmtId="0" fontId="4" fillId="33" borderId="4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96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97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98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P41"/>
  <sheetViews>
    <sheetView showGridLines="0" tabSelected="1" view="pageBreakPreview" zoomScale="88" zoomScaleSheetLayoutView="88" zoomScalePageLayoutView="0" workbookViewId="0" topLeftCell="A1">
      <pane xSplit="2" ySplit="5" topLeftCell="BX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P18" sqref="CP18"/>
    </sheetView>
  </sheetViews>
  <sheetFormatPr defaultColWidth="9.00390625" defaultRowHeight="12.75"/>
  <cols>
    <col min="1" max="1" width="1.00390625" style="0" customWidth="1"/>
    <col min="2" max="2" width="16.50390625" style="0" customWidth="1"/>
    <col min="3" max="4" width="6.875" style="0" hidden="1" customWidth="1"/>
    <col min="5" max="7" width="6.625" style="0" hidden="1" customWidth="1"/>
    <col min="8" max="8" width="6.625" style="14" hidden="1" customWidth="1"/>
    <col min="9" max="13" width="6.625" style="0" hidden="1" customWidth="1"/>
    <col min="14" max="14" width="6.625" style="14" hidden="1" customWidth="1"/>
    <col min="15" max="19" width="6.625" style="0" hidden="1" customWidth="1"/>
    <col min="20" max="20" width="6.625" style="14" hidden="1" customWidth="1"/>
    <col min="21" max="25" width="6.625" style="0" hidden="1" customWidth="1"/>
    <col min="26" max="26" width="6.625" style="14" hidden="1" customWidth="1"/>
    <col min="27" max="56" width="6.625" style="0" hidden="1" customWidth="1"/>
    <col min="57" max="57" width="6.625" style="218" hidden="1" customWidth="1"/>
    <col min="58" max="60" width="6.625" style="0" hidden="1" customWidth="1"/>
    <col min="61" max="61" width="6.625" style="218" hidden="1" customWidth="1"/>
    <col min="62" max="65" width="6.625" style="249" hidden="1" customWidth="1"/>
    <col min="66" max="67" width="6.625" style="218" hidden="1" customWidth="1"/>
    <col min="68" max="71" width="6.625" style="249" hidden="1" customWidth="1"/>
    <col min="72" max="73" width="6.625" style="288" hidden="1" customWidth="1"/>
    <col min="74" max="76" width="6.625" style="249" customWidth="1"/>
    <col min="77" max="81" width="6.625" style="0" customWidth="1"/>
    <col min="82" max="83" width="6.625" style="249" customWidth="1"/>
    <col min="84" max="90" width="7.50390625" style="0" customWidth="1"/>
    <col min="91" max="94" width="7.125" style="0" customWidth="1"/>
  </cols>
  <sheetData>
    <row r="1" spans="2:5" ht="15">
      <c r="B1" s="14"/>
      <c r="C1" s="1"/>
      <c r="D1" s="1"/>
      <c r="E1" s="20" t="s">
        <v>18</v>
      </c>
    </row>
    <row r="2" ht="12.75">
      <c r="B2" s="14" t="s">
        <v>55</v>
      </c>
    </row>
    <row r="3" ht="13.5" thickBot="1">
      <c r="B3" s="283" t="s">
        <v>62</v>
      </c>
    </row>
    <row r="4" spans="2:94" ht="26.25" customHeight="1" thickBot="1">
      <c r="B4" s="9" t="s">
        <v>17</v>
      </c>
      <c r="C4" s="9"/>
      <c r="D4" s="29" t="s">
        <v>30</v>
      </c>
      <c r="E4" s="29" t="s">
        <v>15</v>
      </c>
      <c r="F4" s="30" t="s">
        <v>31</v>
      </c>
      <c r="G4" s="30" t="s">
        <v>16</v>
      </c>
      <c r="H4" s="85" t="s">
        <v>38</v>
      </c>
      <c r="I4" s="9" t="s">
        <v>39</v>
      </c>
      <c r="J4" s="29" t="s">
        <v>30</v>
      </c>
      <c r="K4" s="29" t="s">
        <v>15</v>
      </c>
      <c r="L4" s="30" t="s">
        <v>31</v>
      </c>
      <c r="M4" s="30" t="s">
        <v>16</v>
      </c>
      <c r="N4" s="85" t="s">
        <v>38</v>
      </c>
      <c r="O4" s="9" t="s">
        <v>39</v>
      </c>
      <c r="P4" s="36" t="s">
        <v>40</v>
      </c>
      <c r="Q4" s="36" t="s">
        <v>41</v>
      </c>
      <c r="R4" s="30" t="s">
        <v>31</v>
      </c>
      <c r="S4" s="30" t="s">
        <v>16</v>
      </c>
      <c r="T4" s="85" t="s">
        <v>38</v>
      </c>
      <c r="U4" s="9" t="s">
        <v>39</v>
      </c>
      <c r="V4" s="36" t="s">
        <v>40</v>
      </c>
      <c r="W4" s="36" t="s">
        <v>41</v>
      </c>
      <c r="X4" s="112" t="s">
        <v>44</v>
      </c>
      <c r="Y4" s="112" t="s">
        <v>34</v>
      </c>
      <c r="Z4" s="85" t="s">
        <v>38</v>
      </c>
      <c r="AA4" s="9" t="s">
        <v>39</v>
      </c>
      <c r="AB4" s="36" t="s">
        <v>40</v>
      </c>
      <c r="AC4" s="36" t="s">
        <v>41</v>
      </c>
      <c r="AD4" s="112" t="s">
        <v>44</v>
      </c>
      <c r="AE4" s="112" t="s">
        <v>34</v>
      </c>
      <c r="AF4" s="42" t="s">
        <v>45</v>
      </c>
      <c r="AG4" s="42" t="s">
        <v>37</v>
      </c>
      <c r="AH4" s="36" t="s">
        <v>40</v>
      </c>
      <c r="AI4" s="36" t="s">
        <v>41</v>
      </c>
      <c r="AJ4" s="112" t="s">
        <v>44</v>
      </c>
      <c r="AK4" s="112" t="s">
        <v>34</v>
      </c>
      <c r="AL4" s="42" t="s">
        <v>45</v>
      </c>
      <c r="AM4" s="42" t="s">
        <v>37</v>
      </c>
      <c r="AN4" s="163" t="s">
        <v>46</v>
      </c>
      <c r="AO4" s="163" t="s">
        <v>43</v>
      </c>
      <c r="AP4" s="112" t="s">
        <v>44</v>
      </c>
      <c r="AQ4" s="112" t="s">
        <v>34</v>
      </c>
      <c r="AR4" s="42" t="s">
        <v>45</v>
      </c>
      <c r="AS4" s="42" t="s">
        <v>37</v>
      </c>
      <c r="AT4" s="163" t="s">
        <v>46</v>
      </c>
      <c r="AU4" s="163" t="s">
        <v>43</v>
      </c>
      <c r="AV4" s="200" t="s">
        <v>47</v>
      </c>
      <c r="AW4" s="200" t="s">
        <v>48</v>
      </c>
      <c r="AX4" s="42" t="s">
        <v>45</v>
      </c>
      <c r="AY4" s="44" t="s">
        <v>37</v>
      </c>
      <c r="AZ4" s="163" t="s">
        <v>46</v>
      </c>
      <c r="BA4" s="163" t="s">
        <v>43</v>
      </c>
      <c r="BB4" s="200" t="s">
        <v>47</v>
      </c>
      <c r="BC4" s="200" t="s">
        <v>48</v>
      </c>
      <c r="BD4" s="219" t="s">
        <v>49</v>
      </c>
      <c r="BE4" s="219" t="s">
        <v>50</v>
      </c>
      <c r="BF4" s="200" t="s">
        <v>47</v>
      </c>
      <c r="BG4" s="217" t="s">
        <v>48</v>
      </c>
      <c r="BH4" s="219" t="s">
        <v>49</v>
      </c>
      <c r="BI4" s="219" t="s">
        <v>50</v>
      </c>
      <c r="BJ4" s="247" t="s">
        <v>54</v>
      </c>
      <c r="BK4" s="247" t="s">
        <v>56</v>
      </c>
      <c r="BL4" s="268" t="s">
        <v>57</v>
      </c>
      <c r="BM4" s="417" t="s">
        <v>65</v>
      </c>
      <c r="BN4" s="414" t="s">
        <v>49</v>
      </c>
      <c r="BO4" s="219" t="s">
        <v>50</v>
      </c>
      <c r="BP4" s="247" t="s">
        <v>54</v>
      </c>
      <c r="BQ4" s="247" t="s">
        <v>56</v>
      </c>
      <c r="BR4" s="268" t="s">
        <v>57</v>
      </c>
      <c r="BS4" s="268" t="s">
        <v>66</v>
      </c>
      <c r="BT4" s="289" t="s">
        <v>67</v>
      </c>
      <c r="BU4" s="415" t="s">
        <v>69</v>
      </c>
      <c r="BV4" s="377" t="s">
        <v>54</v>
      </c>
      <c r="BW4" s="262" t="s">
        <v>56</v>
      </c>
      <c r="BX4" s="375" t="s">
        <v>57</v>
      </c>
      <c r="BY4" s="375" t="s">
        <v>65</v>
      </c>
      <c r="BZ4" s="301" t="s">
        <v>67</v>
      </c>
      <c r="CA4" s="301" t="s">
        <v>69</v>
      </c>
      <c r="CB4" s="407" t="s">
        <v>72</v>
      </c>
      <c r="CC4" s="359" t="s">
        <v>54</v>
      </c>
      <c r="CD4" s="262" t="s">
        <v>56</v>
      </c>
      <c r="CE4" s="375" t="s">
        <v>57</v>
      </c>
      <c r="CF4" s="375" t="s">
        <v>65</v>
      </c>
      <c r="CG4" s="301" t="s">
        <v>67</v>
      </c>
      <c r="CH4" s="301" t="s">
        <v>69</v>
      </c>
      <c r="CI4" s="407" t="s">
        <v>72</v>
      </c>
      <c r="CJ4" s="403" t="s">
        <v>67</v>
      </c>
      <c r="CK4" s="301" t="s">
        <v>69</v>
      </c>
      <c r="CL4" s="407" t="s">
        <v>72</v>
      </c>
      <c r="CM4" s="403" t="s">
        <v>67</v>
      </c>
      <c r="CN4" s="301" t="s">
        <v>69</v>
      </c>
      <c r="CO4" s="407" t="s">
        <v>72</v>
      </c>
      <c r="CP4" s="405" t="s">
        <v>72</v>
      </c>
    </row>
    <row r="5" spans="2:94" ht="13.5" thickBot="1">
      <c r="B5" s="31"/>
      <c r="C5" s="32">
        <v>1995</v>
      </c>
      <c r="D5" s="432">
        <v>2000</v>
      </c>
      <c r="E5" s="430"/>
      <c r="F5" s="430"/>
      <c r="G5" s="430"/>
      <c r="H5" s="430"/>
      <c r="I5" s="431"/>
      <c r="J5" s="432">
        <v>2001</v>
      </c>
      <c r="K5" s="430"/>
      <c r="L5" s="430"/>
      <c r="M5" s="430"/>
      <c r="N5" s="430"/>
      <c r="O5" s="430"/>
      <c r="P5" s="430"/>
      <c r="Q5" s="431"/>
      <c r="R5" s="430">
        <v>2002</v>
      </c>
      <c r="S5" s="430"/>
      <c r="T5" s="430"/>
      <c r="U5" s="430"/>
      <c r="V5" s="430"/>
      <c r="W5" s="430"/>
      <c r="X5" s="430"/>
      <c r="Y5" s="431"/>
      <c r="Z5" s="430">
        <v>2003</v>
      </c>
      <c r="AA5" s="430"/>
      <c r="AB5" s="430"/>
      <c r="AC5" s="430"/>
      <c r="AD5" s="430"/>
      <c r="AE5" s="430"/>
      <c r="AF5" s="430"/>
      <c r="AG5" s="431"/>
      <c r="AH5" s="432">
        <v>2004</v>
      </c>
      <c r="AI5" s="430"/>
      <c r="AJ5" s="430"/>
      <c r="AK5" s="430"/>
      <c r="AL5" s="430"/>
      <c r="AM5" s="430"/>
      <c r="AN5" s="430"/>
      <c r="AO5" s="430"/>
      <c r="AP5" s="432">
        <v>2005</v>
      </c>
      <c r="AQ5" s="430"/>
      <c r="AR5" s="430"/>
      <c r="AS5" s="430"/>
      <c r="AT5" s="430"/>
      <c r="AU5" s="430"/>
      <c r="AV5" s="430"/>
      <c r="AW5" s="431"/>
      <c r="AX5" s="432">
        <v>2006</v>
      </c>
      <c r="AY5" s="430"/>
      <c r="AZ5" s="430"/>
      <c r="BA5" s="430"/>
      <c r="BB5" s="430"/>
      <c r="BC5" s="430"/>
      <c r="BD5" s="430"/>
      <c r="BE5" s="431"/>
      <c r="BF5" s="433">
        <v>2008</v>
      </c>
      <c r="BG5" s="434"/>
      <c r="BH5" s="434"/>
      <c r="BI5" s="434"/>
      <c r="BJ5" s="434"/>
      <c r="BK5" s="434"/>
      <c r="BL5" s="434"/>
      <c r="BM5" s="435"/>
      <c r="BN5" s="433">
        <v>2009</v>
      </c>
      <c r="BO5" s="434"/>
      <c r="BP5" s="434"/>
      <c r="BQ5" s="434"/>
      <c r="BR5" s="434"/>
      <c r="BS5" s="434"/>
      <c r="BT5" s="434"/>
      <c r="BU5" s="435"/>
      <c r="BV5" s="433">
        <v>2010</v>
      </c>
      <c r="BW5" s="434"/>
      <c r="BX5" s="434"/>
      <c r="BY5" s="434"/>
      <c r="BZ5" s="434"/>
      <c r="CA5" s="434"/>
      <c r="CB5" s="437"/>
      <c r="CC5" s="436">
        <v>2011</v>
      </c>
      <c r="CD5" s="434"/>
      <c r="CE5" s="434"/>
      <c r="CF5" s="434"/>
      <c r="CG5" s="434"/>
      <c r="CH5" s="434"/>
      <c r="CI5" s="437"/>
      <c r="CJ5" s="436">
        <v>2012</v>
      </c>
      <c r="CK5" s="434"/>
      <c r="CL5" s="437"/>
      <c r="CM5" s="436">
        <v>2013</v>
      </c>
      <c r="CN5" s="434"/>
      <c r="CO5" s="437"/>
      <c r="CP5" s="390">
        <v>2014</v>
      </c>
    </row>
    <row r="6" spans="2:94" ht="12.75">
      <c r="B6" s="7" t="s">
        <v>0</v>
      </c>
      <c r="C6" s="2">
        <v>-4.3</v>
      </c>
      <c r="D6" s="45">
        <v>0.1</v>
      </c>
      <c r="E6" s="46">
        <v>0.1</v>
      </c>
      <c r="F6" s="71">
        <v>0.1</v>
      </c>
      <c r="G6" s="71">
        <v>0.2</v>
      </c>
      <c r="H6" s="24">
        <v>0.2</v>
      </c>
      <c r="I6" s="21">
        <v>0.2</v>
      </c>
      <c r="J6" s="52">
        <v>0.2</v>
      </c>
      <c r="K6" s="83">
        <v>0.4</v>
      </c>
      <c r="L6" s="84">
        <v>0.4</v>
      </c>
      <c r="M6" s="84">
        <v>0.6</v>
      </c>
      <c r="N6" s="38">
        <v>0.5</v>
      </c>
      <c r="O6" s="38">
        <v>0.6</v>
      </c>
      <c r="P6" s="89">
        <v>0.6</v>
      </c>
      <c r="Q6" s="90">
        <v>0.6</v>
      </c>
      <c r="R6" s="71">
        <v>0.1</v>
      </c>
      <c r="S6" s="71">
        <v>0.1</v>
      </c>
      <c r="T6" s="24">
        <v>0.1</v>
      </c>
      <c r="U6" s="24">
        <v>0.1</v>
      </c>
      <c r="V6" s="89">
        <v>0.1</v>
      </c>
      <c r="W6" s="102">
        <v>0</v>
      </c>
      <c r="X6" s="113">
        <v>0</v>
      </c>
      <c r="Y6" s="114">
        <v>0</v>
      </c>
      <c r="Z6" s="24">
        <v>0.2</v>
      </c>
      <c r="AA6" s="24">
        <v>0.4</v>
      </c>
      <c r="AB6" s="89">
        <v>0.4</v>
      </c>
      <c r="AC6" s="102">
        <v>0.1</v>
      </c>
      <c r="AD6" s="113">
        <v>0.1</v>
      </c>
      <c r="AE6" s="113">
        <v>0</v>
      </c>
      <c r="AF6" s="135">
        <v>0.1</v>
      </c>
      <c r="AG6" s="136">
        <v>0</v>
      </c>
      <c r="AH6" s="89">
        <v>0.1</v>
      </c>
      <c r="AI6" s="102">
        <v>0</v>
      </c>
      <c r="AJ6" s="113">
        <v>0</v>
      </c>
      <c r="AK6" s="113">
        <v>0</v>
      </c>
      <c r="AL6" s="135">
        <v>0</v>
      </c>
      <c r="AM6" s="135">
        <v>0</v>
      </c>
      <c r="AN6" s="164">
        <v>0</v>
      </c>
      <c r="AO6" s="174">
        <v>-0.2</v>
      </c>
      <c r="AP6" s="128">
        <v>0.1</v>
      </c>
      <c r="AQ6" s="128">
        <v>-2.3</v>
      </c>
      <c r="AR6" s="148">
        <v>-2.3</v>
      </c>
      <c r="AS6" s="148">
        <v>-2.3</v>
      </c>
      <c r="AT6" s="164">
        <v>-2.3</v>
      </c>
      <c r="AU6" s="169">
        <v>-2.6</v>
      </c>
      <c r="AV6" s="60">
        <v>-2.7</v>
      </c>
      <c r="AW6" s="202">
        <v>-2.7</v>
      </c>
      <c r="AX6" s="135">
        <v>0.2</v>
      </c>
      <c r="AY6" s="148">
        <v>0.4</v>
      </c>
      <c r="AZ6" s="164">
        <v>0.3</v>
      </c>
      <c r="BA6" s="164">
        <v>0.3</v>
      </c>
      <c r="BB6" s="60">
        <v>0.3</v>
      </c>
      <c r="BC6" s="60">
        <v>0.3</v>
      </c>
      <c r="BD6" s="236">
        <v>0.3</v>
      </c>
      <c r="BE6" s="220">
        <v>0.2</v>
      </c>
      <c r="BF6" s="60">
        <v>-1.2</v>
      </c>
      <c r="BG6" s="60">
        <v>-1.2</v>
      </c>
      <c r="BH6" s="236">
        <v>-1.2</v>
      </c>
      <c r="BI6" s="224">
        <v>-1.3</v>
      </c>
      <c r="BJ6" s="255">
        <v>-1.3</v>
      </c>
      <c r="BK6" s="255">
        <v>-1.3</v>
      </c>
      <c r="BL6" s="269">
        <v>-1</v>
      </c>
      <c r="BM6" s="418">
        <v>-1</v>
      </c>
      <c r="BN6" s="224">
        <v>-6</v>
      </c>
      <c r="BO6" s="224">
        <v>-6</v>
      </c>
      <c r="BP6" s="255">
        <v>-5.9</v>
      </c>
      <c r="BQ6" s="255">
        <v>-5.8</v>
      </c>
      <c r="BR6" s="292">
        <v>-5.6</v>
      </c>
      <c r="BS6" s="292">
        <v>-5.5</v>
      </c>
      <c r="BT6" s="307">
        <v>-5.6</v>
      </c>
      <c r="BU6" s="416">
        <v>-5.6</v>
      </c>
      <c r="BV6" s="255">
        <v>-4.1</v>
      </c>
      <c r="BW6" s="255">
        <v>-4.1</v>
      </c>
      <c r="BX6" s="292">
        <v>-3.8</v>
      </c>
      <c r="BY6" s="292">
        <v>-3.8</v>
      </c>
      <c r="BZ6" s="365">
        <v>-3.8</v>
      </c>
      <c r="CA6" s="365">
        <v>-3.7</v>
      </c>
      <c r="CB6" s="367">
        <v>-3.8</v>
      </c>
      <c r="CC6" s="255">
        <v>-3.6</v>
      </c>
      <c r="CD6" s="255">
        <v>-3.5</v>
      </c>
      <c r="CE6" s="292">
        <v>-3.7</v>
      </c>
      <c r="CF6" s="284">
        <v>-3.7</v>
      </c>
      <c r="CG6" s="380">
        <v>-3.7</v>
      </c>
      <c r="CH6" s="380">
        <v>-3.7</v>
      </c>
      <c r="CI6" s="393">
        <v>-3.8</v>
      </c>
      <c r="CJ6" s="366">
        <v>-3.9</v>
      </c>
      <c r="CK6" s="380">
        <v>-4</v>
      </c>
      <c r="CL6" s="393">
        <v>-4.1</v>
      </c>
      <c r="CM6" s="366">
        <f>-9445*100/384270</f>
        <v>-2.4579072006661984</v>
      </c>
      <c r="CN6" s="366">
        <f>(-9704/382710)*100</f>
        <v>-2.5356013691829324</v>
      </c>
      <c r="CO6" s="393">
        <v>-2.6</v>
      </c>
      <c r="CP6" s="410">
        <f>-8396*100/391902</f>
        <v>-2.1423723277758215</v>
      </c>
    </row>
    <row r="7" spans="2:94" ht="12.75">
      <c r="B7" s="13" t="s">
        <v>1</v>
      </c>
      <c r="C7" s="8">
        <v>-2.3</v>
      </c>
      <c r="D7" s="47">
        <v>2.5</v>
      </c>
      <c r="E7" s="48">
        <v>2.5</v>
      </c>
      <c r="F7" s="72">
        <v>2.6</v>
      </c>
      <c r="G7" s="72">
        <v>2.6</v>
      </c>
      <c r="H7" s="25">
        <v>2.6</v>
      </c>
      <c r="I7" s="18">
        <v>1.7</v>
      </c>
      <c r="J7" s="54">
        <v>2.5</v>
      </c>
      <c r="K7" s="55">
        <v>3.1</v>
      </c>
      <c r="L7" s="72">
        <v>3.1</v>
      </c>
      <c r="M7" s="72">
        <v>3.1</v>
      </c>
      <c r="N7" s="25">
        <v>3.1</v>
      </c>
      <c r="O7" s="25">
        <v>2</v>
      </c>
      <c r="P7" s="91">
        <v>3.2</v>
      </c>
      <c r="Q7" s="92">
        <v>2.6</v>
      </c>
      <c r="R7" s="72">
        <v>2</v>
      </c>
      <c r="S7" s="72">
        <v>1.9</v>
      </c>
      <c r="T7" s="25">
        <v>1.7</v>
      </c>
      <c r="U7" s="25">
        <v>0.7</v>
      </c>
      <c r="V7" s="91">
        <v>1.7</v>
      </c>
      <c r="W7" s="91">
        <v>1.4</v>
      </c>
      <c r="X7" s="115">
        <v>1.2</v>
      </c>
      <c r="Y7" s="116">
        <v>1.2</v>
      </c>
      <c r="Z7" s="25">
        <v>1.5</v>
      </c>
      <c r="AA7" s="25">
        <v>0.3</v>
      </c>
      <c r="AB7" s="91">
        <v>1.2</v>
      </c>
      <c r="AC7" s="91">
        <v>1</v>
      </c>
      <c r="AD7" s="115">
        <v>1</v>
      </c>
      <c r="AE7" s="115">
        <v>1.1</v>
      </c>
      <c r="AF7" s="137">
        <v>0</v>
      </c>
      <c r="AG7" s="138">
        <v>-0.1</v>
      </c>
      <c r="AH7" s="91">
        <v>2.8</v>
      </c>
      <c r="AI7" s="91">
        <v>2.3</v>
      </c>
      <c r="AJ7" s="115">
        <v>2.7</v>
      </c>
      <c r="AK7" s="115">
        <v>2.7</v>
      </c>
      <c r="AL7" s="137">
        <v>2</v>
      </c>
      <c r="AM7" s="137">
        <v>1.9</v>
      </c>
      <c r="AN7" s="165">
        <v>1.9</v>
      </c>
      <c r="AO7" s="173">
        <v>2</v>
      </c>
      <c r="AP7" s="115">
        <v>4.9</v>
      </c>
      <c r="AQ7" s="115">
        <v>4.9</v>
      </c>
      <c r="AR7" s="137">
        <v>4.7</v>
      </c>
      <c r="AS7" s="137">
        <v>4.6</v>
      </c>
      <c r="AT7" s="165">
        <v>5</v>
      </c>
      <c r="AU7" s="164">
        <v>5.2</v>
      </c>
      <c r="AV7" s="54">
        <v>5.2</v>
      </c>
      <c r="AW7" s="201">
        <v>5.2</v>
      </c>
      <c r="AX7" s="137">
        <v>4.2</v>
      </c>
      <c r="AY7" s="137">
        <v>4.6</v>
      </c>
      <c r="AZ7" s="165">
        <v>4.8</v>
      </c>
      <c r="BA7" s="165">
        <v>5.1</v>
      </c>
      <c r="BB7" s="54">
        <v>5.2</v>
      </c>
      <c r="BC7" s="54">
        <v>5.2</v>
      </c>
      <c r="BD7" s="237">
        <v>5.2</v>
      </c>
      <c r="BE7" s="221">
        <v>5.2</v>
      </c>
      <c r="BF7" s="54">
        <v>3.6</v>
      </c>
      <c r="BG7" s="54">
        <v>3.4</v>
      </c>
      <c r="BH7" s="237">
        <v>3.4</v>
      </c>
      <c r="BI7" s="77">
        <v>3.4</v>
      </c>
      <c r="BJ7" s="256">
        <v>3.2</v>
      </c>
      <c r="BK7" s="256">
        <v>3.2</v>
      </c>
      <c r="BL7" s="270">
        <v>3.2</v>
      </c>
      <c r="BM7" s="419">
        <v>3.2</v>
      </c>
      <c r="BN7" s="77">
        <v>-2.7</v>
      </c>
      <c r="BO7" s="77">
        <v>-2.7</v>
      </c>
      <c r="BP7" s="256">
        <v>-2.7</v>
      </c>
      <c r="BQ7" s="256">
        <v>-2.7</v>
      </c>
      <c r="BR7" s="285">
        <v>-2.7</v>
      </c>
      <c r="BS7" s="285">
        <v>-2.7</v>
      </c>
      <c r="BT7" s="303">
        <v>-2.7</v>
      </c>
      <c r="BU7" s="362">
        <v>-2.7</v>
      </c>
      <c r="BV7" s="256">
        <v>-2.7</v>
      </c>
      <c r="BW7" s="256">
        <v>-2.6</v>
      </c>
      <c r="BX7" s="285">
        <v>-2.5</v>
      </c>
      <c r="BY7" s="285">
        <v>-2.5</v>
      </c>
      <c r="BZ7" s="354">
        <v>-2.5</v>
      </c>
      <c r="CA7" s="354">
        <v>-2.5</v>
      </c>
      <c r="CB7" s="368">
        <v>-2.5</v>
      </c>
      <c r="CC7" s="256">
        <v>-3.8</v>
      </c>
      <c r="CD7" s="256">
        <v>-3.7</v>
      </c>
      <c r="CE7" s="285">
        <v>-1.8</v>
      </c>
      <c r="CF7" s="285">
        <v>-1.8</v>
      </c>
      <c r="CG7" s="354">
        <v>-1.8</v>
      </c>
      <c r="CH7" s="354">
        <v>-1.8</v>
      </c>
      <c r="CI7" s="368">
        <v>-1.9</v>
      </c>
      <c r="CJ7" s="354">
        <v>-4</v>
      </c>
      <c r="CK7" s="354">
        <v>-4.1</v>
      </c>
      <c r="CL7" s="368">
        <v>-3.8</v>
      </c>
      <c r="CM7" s="354">
        <f>-44225*100/1862387</f>
        <v>-2.374640716456891</v>
      </c>
      <c r="CN7" s="354">
        <f>-28831*100/1852123</f>
        <v>-1.5566460758815694</v>
      </c>
      <c r="CO7" s="368">
        <v>-0.8</v>
      </c>
      <c r="CP7" s="411">
        <f>-21048*100/1913147</f>
        <v>-1.1001768290674998</v>
      </c>
    </row>
    <row r="8" spans="2:94" ht="12.75">
      <c r="B8" s="13" t="s">
        <v>2</v>
      </c>
      <c r="C8" s="8">
        <v>-3.5</v>
      </c>
      <c r="D8" s="47">
        <v>1.2</v>
      </c>
      <c r="E8" s="48">
        <v>1.1</v>
      </c>
      <c r="F8" s="72">
        <v>1.1</v>
      </c>
      <c r="G8" s="72">
        <v>1.3</v>
      </c>
      <c r="H8" s="25">
        <v>1.3</v>
      </c>
      <c r="I8" s="18">
        <v>1.3</v>
      </c>
      <c r="J8" s="54">
        <v>-2.7</v>
      </c>
      <c r="K8" s="55">
        <v>-2.8</v>
      </c>
      <c r="L8" s="72">
        <v>-2.8</v>
      </c>
      <c r="M8" s="72">
        <v>-2.8</v>
      </c>
      <c r="N8" s="25">
        <v>-2.8</v>
      </c>
      <c r="O8" s="25">
        <v>-2.8</v>
      </c>
      <c r="P8" s="91">
        <v>-2.8</v>
      </c>
      <c r="Q8" s="92">
        <v>-2.9</v>
      </c>
      <c r="R8" s="72">
        <v>-3.6</v>
      </c>
      <c r="S8" s="72">
        <v>-3.5</v>
      </c>
      <c r="T8" s="25">
        <v>-3.5</v>
      </c>
      <c r="U8" s="25">
        <v>-3.7</v>
      </c>
      <c r="V8" s="91">
        <v>-3.7</v>
      </c>
      <c r="W8" s="91">
        <v>-3.8</v>
      </c>
      <c r="X8" s="115">
        <v>-3.7</v>
      </c>
      <c r="Y8" s="116">
        <v>-3.7</v>
      </c>
      <c r="Z8" s="25">
        <v>-3.9</v>
      </c>
      <c r="AA8" s="25">
        <v>-3.8</v>
      </c>
      <c r="AB8" s="91">
        <v>-3.8</v>
      </c>
      <c r="AC8" s="91">
        <v>-4.1</v>
      </c>
      <c r="AD8" s="115">
        <v>-4</v>
      </c>
      <c r="AE8" s="115">
        <v>-4</v>
      </c>
      <c r="AF8" s="137">
        <v>-4</v>
      </c>
      <c r="AG8" s="138">
        <v>-4</v>
      </c>
      <c r="AH8" s="91">
        <v>-3.7</v>
      </c>
      <c r="AI8" s="91">
        <v>-3.7</v>
      </c>
      <c r="AJ8" s="115">
        <v>-3.7</v>
      </c>
      <c r="AK8" s="115">
        <v>-3.7</v>
      </c>
      <c r="AL8" s="137">
        <v>-3.7</v>
      </c>
      <c r="AM8" s="137">
        <v>-3.8</v>
      </c>
      <c r="AN8" s="164">
        <v>-3.8</v>
      </c>
      <c r="AO8" s="174">
        <v>-3.8</v>
      </c>
      <c r="AP8" s="128">
        <v>-3.3</v>
      </c>
      <c r="AQ8" s="128">
        <v>-3.2</v>
      </c>
      <c r="AR8" s="148">
        <v>-3.2</v>
      </c>
      <c r="AS8" s="148">
        <v>-3.4</v>
      </c>
      <c r="AT8" s="164">
        <v>-3.4</v>
      </c>
      <c r="AU8" s="165">
        <v>-3.3</v>
      </c>
      <c r="AV8" s="60">
        <v>-3.3</v>
      </c>
      <c r="AW8" s="202">
        <v>-3.3</v>
      </c>
      <c r="AX8" s="137">
        <v>-1.7</v>
      </c>
      <c r="AY8" s="148">
        <v>-1.6</v>
      </c>
      <c r="AZ8" s="164">
        <v>-1.6</v>
      </c>
      <c r="BA8" s="164">
        <v>-1.5</v>
      </c>
      <c r="BB8" s="60">
        <v>-1.5</v>
      </c>
      <c r="BC8" s="60">
        <v>-1.6</v>
      </c>
      <c r="BD8" s="236">
        <v>-1.6</v>
      </c>
      <c r="BE8" s="222">
        <v>-1.6</v>
      </c>
      <c r="BF8" s="60">
        <v>-0.1</v>
      </c>
      <c r="BG8" s="60">
        <v>0</v>
      </c>
      <c r="BH8" s="236">
        <v>0</v>
      </c>
      <c r="BI8" s="224">
        <v>0.1</v>
      </c>
      <c r="BJ8" s="255">
        <v>0.1</v>
      </c>
      <c r="BK8" s="255">
        <v>-0.1</v>
      </c>
      <c r="BL8" s="270">
        <v>-0.1</v>
      </c>
      <c r="BM8" s="419">
        <v>-0.1</v>
      </c>
      <c r="BN8" s="77">
        <v>-3.3</v>
      </c>
      <c r="BO8" s="77">
        <v>-3</v>
      </c>
      <c r="BP8" s="256">
        <v>-3</v>
      </c>
      <c r="BQ8" s="256">
        <v>-3.2</v>
      </c>
      <c r="BR8" s="285">
        <v>-3.2</v>
      </c>
      <c r="BS8" s="285">
        <v>-3.1</v>
      </c>
      <c r="BT8" s="303">
        <v>-3.1</v>
      </c>
      <c r="BU8" s="362">
        <v>-3.1</v>
      </c>
      <c r="BV8" s="256">
        <v>-3.3</v>
      </c>
      <c r="BW8" s="256">
        <v>-4.3</v>
      </c>
      <c r="BX8" s="285">
        <v>-4.3</v>
      </c>
      <c r="BY8" s="285">
        <v>-4.1</v>
      </c>
      <c r="BZ8" s="354">
        <v>-4.1</v>
      </c>
      <c r="CA8" s="354">
        <v>-4.2</v>
      </c>
      <c r="CB8" s="368">
        <v>-4.2</v>
      </c>
      <c r="CC8" s="256">
        <v>-2.5</v>
      </c>
      <c r="CD8" s="256">
        <v>-1.3</v>
      </c>
      <c r="CE8" s="285">
        <v>-1</v>
      </c>
      <c r="CF8" s="285">
        <v>-0.8</v>
      </c>
      <c r="CG8" s="354">
        <v>-0.8</v>
      </c>
      <c r="CH8" s="354">
        <v>-0.8</v>
      </c>
      <c r="CI8" s="368">
        <v>-0.8</v>
      </c>
      <c r="CJ8" s="354">
        <v>0.2</v>
      </c>
      <c r="CK8" s="354">
        <v>0.1</v>
      </c>
      <c r="CL8" s="368">
        <v>0.1</v>
      </c>
      <c r="CM8" s="354">
        <f>-9200*100/2703412</f>
        <v>-0.34031068886281485</v>
      </c>
      <c r="CN8" s="354">
        <f>-4452*100/2724612</f>
        <v>-0.16339941246680262</v>
      </c>
      <c r="CO8" s="368">
        <v>0</v>
      </c>
      <c r="CP8" s="411">
        <f>3620*100/2831866</f>
        <v>0.12783090725337992</v>
      </c>
    </row>
    <row r="9" spans="2:94" ht="12.75">
      <c r="B9" s="13" t="s">
        <v>3</v>
      </c>
      <c r="C9" s="8">
        <v>-10.2</v>
      </c>
      <c r="D9" s="47">
        <v>-0.8</v>
      </c>
      <c r="E9" s="48">
        <v>-1.8</v>
      </c>
      <c r="F9" s="72">
        <v>-1.9</v>
      </c>
      <c r="G9" s="72">
        <v>-1.9</v>
      </c>
      <c r="H9" s="25">
        <v>-2</v>
      </c>
      <c r="I9" s="18">
        <v>-4.1</v>
      </c>
      <c r="J9" s="54">
        <v>0.1</v>
      </c>
      <c r="K9" s="55">
        <v>-1.2</v>
      </c>
      <c r="L9" s="72">
        <v>-1.4</v>
      </c>
      <c r="M9" s="72">
        <v>-1.5</v>
      </c>
      <c r="N9" s="25">
        <v>-1.4</v>
      </c>
      <c r="O9" s="25">
        <v>-3.7</v>
      </c>
      <c r="P9" s="91">
        <v>-3.6</v>
      </c>
      <c r="Q9" s="92">
        <v>-6.1</v>
      </c>
      <c r="R9" s="72">
        <v>-1.2</v>
      </c>
      <c r="S9" s="72">
        <v>-1.2</v>
      </c>
      <c r="T9" s="25">
        <v>-1.4</v>
      </c>
      <c r="U9" s="25">
        <v>-3.7</v>
      </c>
      <c r="V9" s="91">
        <v>-4.1</v>
      </c>
      <c r="W9" s="91">
        <v>-4.9</v>
      </c>
      <c r="X9" s="115">
        <v>-4.9</v>
      </c>
      <c r="Y9" s="116">
        <v>-5.2</v>
      </c>
      <c r="Z9" s="25">
        <v>-1.7</v>
      </c>
      <c r="AA9" s="25">
        <v>-4.6</v>
      </c>
      <c r="AB9" s="91">
        <v>-5.2</v>
      </c>
      <c r="AC9" s="91">
        <v>-5.7</v>
      </c>
      <c r="AD9" s="115">
        <v>-5.8</v>
      </c>
      <c r="AE9" s="115">
        <v>-6.1</v>
      </c>
      <c r="AF9" s="137">
        <v>-6.2</v>
      </c>
      <c r="AG9" s="138">
        <v>-5.6</v>
      </c>
      <c r="AH9" s="91">
        <v>-6.1</v>
      </c>
      <c r="AI9" s="91">
        <v>-6.6</v>
      </c>
      <c r="AJ9" s="115">
        <v>-6.9</v>
      </c>
      <c r="AK9" s="115">
        <v>-7.8</v>
      </c>
      <c r="AL9" s="137">
        <v>-7.9</v>
      </c>
      <c r="AM9" s="137">
        <v>-7.3</v>
      </c>
      <c r="AN9" s="165">
        <v>-7.4</v>
      </c>
      <c r="AO9" s="173">
        <v>-7.5</v>
      </c>
      <c r="AP9" s="115">
        <v>-4.5</v>
      </c>
      <c r="AQ9" s="115">
        <v>-5.2</v>
      </c>
      <c r="AR9" s="137">
        <v>-5.5</v>
      </c>
      <c r="AS9" s="137">
        <v>-5.1</v>
      </c>
      <c r="AT9" s="165">
        <v>-5.1</v>
      </c>
      <c r="AU9" s="164">
        <v>-5.1</v>
      </c>
      <c r="AV9" s="54">
        <v>-5.1</v>
      </c>
      <c r="AW9" s="201">
        <v>-5.2</v>
      </c>
      <c r="AX9" s="137">
        <v>-2.6</v>
      </c>
      <c r="AY9" s="137">
        <v>-2.5</v>
      </c>
      <c r="AZ9" s="165">
        <v>-2.6</v>
      </c>
      <c r="BA9" s="165">
        <v>-2.8</v>
      </c>
      <c r="BB9" s="54">
        <v>-2.8</v>
      </c>
      <c r="BC9" s="54">
        <v>-2.9</v>
      </c>
      <c r="BD9" s="237">
        <v>-3.6</v>
      </c>
      <c r="BE9" s="240">
        <v>-5.7</v>
      </c>
      <c r="BF9" s="54">
        <v>-5</v>
      </c>
      <c r="BG9" s="54">
        <v>-7.7</v>
      </c>
      <c r="BH9" s="237">
        <v>-7.7</v>
      </c>
      <c r="BI9" s="242">
        <v>-9.4</v>
      </c>
      <c r="BJ9" s="257">
        <v>-9.8</v>
      </c>
      <c r="BK9" s="257">
        <v>-9.8</v>
      </c>
      <c r="BL9" s="271">
        <v>-9.8</v>
      </c>
      <c r="BM9" s="420">
        <v>-9.8</v>
      </c>
      <c r="BN9" s="224">
        <v>-13.6</v>
      </c>
      <c r="BO9" s="245">
        <v>-15.4</v>
      </c>
      <c r="BP9" s="260">
        <v>-15.4</v>
      </c>
      <c r="BQ9" s="260">
        <v>-15.8</v>
      </c>
      <c r="BR9" s="286">
        <v>-15.6</v>
      </c>
      <c r="BS9" s="286">
        <v>-15.6</v>
      </c>
      <c r="BT9" s="313">
        <v>-15.6</v>
      </c>
      <c r="BU9" s="404">
        <v>-15.7</v>
      </c>
      <c r="BV9" s="260">
        <v>-10.5</v>
      </c>
      <c r="BW9" s="260">
        <v>-10.6</v>
      </c>
      <c r="BX9" s="286">
        <v>-10.3</v>
      </c>
      <c r="BY9" s="286">
        <v>-10.7</v>
      </c>
      <c r="BZ9" s="353">
        <v>-10.7</v>
      </c>
      <c r="CA9" s="353">
        <v>-10.7</v>
      </c>
      <c r="CB9" s="401">
        <v>-10.9</v>
      </c>
      <c r="CC9" s="260">
        <v>-7.4</v>
      </c>
      <c r="CD9" s="260">
        <v>-8.6</v>
      </c>
      <c r="CE9" s="286">
        <v>-9.1</v>
      </c>
      <c r="CF9" s="286">
        <v>-9.4</v>
      </c>
      <c r="CG9" s="355">
        <v>-9.5</v>
      </c>
      <c r="CH9" s="355">
        <v>-9.5</v>
      </c>
      <c r="CI9" s="369">
        <v>-9.6</v>
      </c>
      <c r="CJ9" s="355">
        <v>-10</v>
      </c>
      <c r="CK9" s="355">
        <v>-9</v>
      </c>
      <c r="CL9" s="369">
        <v>-8.9</v>
      </c>
      <c r="CM9" s="355">
        <f>-3547*100/183500</f>
        <v>-1.9329700272479564</v>
      </c>
      <c r="CN9" s="355">
        <f>-3886*100/182911</f>
        <v>-2.124530509373411</v>
      </c>
      <c r="CO9" s="368">
        <v>-12.7</v>
      </c>
      <c r="CP9" s="411">
        <f>-4266*100/181872</f>
        <v>-2.3456057007125892</v>
      </c>
    </row>
    <row r="10" spans="2:94" ht="12.75">
      <c r="B10" s="13" t="s">
        <v>4</v>
      </c>
      <c r="C10" s="8">
        <v>-6.6</v>
      </c>
      <c r="D10" s="47">
        <v>-0.3</v>
      </c>
      <c r="E10" s="48">
        <v>-0.6</v>
      </c>
      <c r="F10" s="72">
        <v>-0.8</v>
      </c>
      <c r="G10" s="72">
        <v>-0.8</v>
      </c>
      <c r="H10" s="25">
        <v>-0.9</v>
      </c>
      <c r="I10" s="18">
        <v>-0.9</v>
      </c>
      <c r="J10" s="54">
        <v>0</v>
      </c>
      <c r="K10" s="55">
        <v>-0.1</v>
      </c>
      <c r="L10" s="72">
        <v>-0.1</v>
      </c>
      <c r="M10" s="72">
        <v>-0.3</v>
      </c>
      <c r="N10" s="25">
        <v>-0.4</v>
      </c>
      <c r="O10" s="25">
        <v>-0.4</v>
      </c>
      <c r="P10" s="91">
        <v>-0.5</v>
      </c>
      <c r="Q10" s="92">
        <v>-0.5</v>
      </c>
      <c r="R10" s="72">
        <v>-0.1</v>
      </c>
      <c r="S10" s="72">
        <v>0.1</v>
      </c>
      <c r="T10" s="25">
        <v>0</v>
      </c>
      <c r="U10" s="25">
        <v>-0.1</v>
      </c>
      <c r="V10" s="91">
        <v>-0.3</v>
      </c>
      <c r="W10" s="91">
        <v>-0.3</v>
      </c>
      <c r="X10" s="115">
        <v>-0.3</v>
      </c>
      <c r="Y10" s="116">
        <v>-0.3</v>
      </c>
      <c r="Z10" s="25">
        <v>0.3</v>
      </c>
      <c r="AA10" s="25">
        <v>0.4</v>
      </c>
      <c r="AB10" s="91">
        <v>0.3</v>
      </c>
      <c r="AC10" s="91">
        <v>0</v>
      </c>
      <c r="AD10" s="115">
        <v>0</v>
      </c>
      <c r="AE10" s="115">
        <v>0</v>
      </c>
      <c r="AF10" s="137">
        <v>0</v>
      </c>
      <c r="AG10" s="138">
        <v>-0.2</v>
      </c>
      <c r="AH10" s="91">
        <v>-0.3</v>
      </c>
      <c r="AI10" s="91">
        <v>-0.1</v>
      </c>
      <c r="AJ10" s="115">
        <v>-0.1</v>
      </c>
      <c r="AK10" s="115">
        <v>-0.2</v>
      </c>
      <c r="AL10" s="137">
        <v>-0.2</v>
      </c>
      <c r="AM10" s="137">
        <v>-0.3</v>
      </c>
      <c r="AN10" s="164">
        <v>-0.3</v>
      </c>
      <c r="AO10" s="174">
        <v>-0.3</v>
      </c>
      <c r="AP10" s="128">
        <v>1.1</v>
      </c>
      <c r="AQ10" s="128">
        <v>1.1</v>
      </c>
      <c r="AR10" s="148">
        <v>1.1</v>
      </c>
      <c r="AS10" s="148">
        <v>1</v>
      </c>
      <c r="AT10" s="164">
        <v>1</v>
      </c>
      <c r="AU10" s="165">
        <v>1</v>
      </c>
      <c r="AV10" s="60">
        <v>1</v>
      </c>
      <c r="AW10" s="202">
        <v>1</v>
      </c>
      <c r="AX10" s="137">
        <v>1.8</v>
      </c>
      <c r="AY10" s="148">
        <v>1.8</v>
      </c>
      <c r="AZ10" s="164">
        <v>1.8</v>
      </c>
      <c r="BA10" s="164">
        <v>2</v>
      </c>
      <c r="BB10" s="60">
        <v>2</v>
      </c>
      <c r="BC10" s="60">
        <v>2</v>
      </c>
      <c r="BD10" s="236">
        <v>2</v>
      </c>
      <c r="BE10" s="222">
        <v>2</v>
      </c>
      <c r="BF10" s="60">
        <v>-3.8</v>
      </c>
      <c r="BG10" s="60">
        <v>-4.1</v>
      </c>
      <c r="BH10" s="236">
        <v>-4.1</v>
      </c>
      <c r="BI10" s="224">
        <v>-4.2</v>
      </c>
      <c r="BJ10" s="255">
        <v>-4.2</v>
      </c>
      <c r="BK10" s="255">
        <v>-4.5</v>
      </c>
      <c r="BL10" s="270">
        <v>-4.5</v>
      </c>
      <c r="BM10" s="419">
        <v>-4.5</v>
      </c>
      <c r="BN10" s="77">
        <v>-11.2</v>
      </c>
      <c r="BO10" s="77">
        <v>-11.1</v>
      </c>
      <c r="BP10" s="256">
        <v>-11.1</v>
      </c>
      <c r="BQ10" s="256">
        <v>-11.2</v>
      </c>
      <c r="BR10" s="285">
        <v>-11.2</v>
      </c>
      <c r="BS10" s="285">
        <v>-11.2</v>
      </c>
      <c r="BT10" s="303">
        <v>-11.2</v>
      </c>
      <c r="BU10" s="362">
        <v>-11.1</v>
      </c>
      <c r="BV10" s="256">
        <v>-9.2</v>
      </c>
      <c r="BW10" s="256">
        <v>-9.3</v>
      </c>
      <c r="BX10" s="285">
        <v>-9.3</v>
      </c>
      <c r="BY10" s="285">
        <v>-9.7</v>
      </c>
      <c r="BZ10" s="354">
        <v>-9.7</v>
      </c>
      <c r="CA10" s="354">
        <v>-9.6</v>
      </c>
      <c r="CB10" s="368">
        <v>-9.6</v>
      </c>
      <c r="CC10" s="256">
        <v>-6</v>
      </c>
      <c r="CD10" s="256">
        <v>-6</v>
      </c>
      <c r="CE10" s="285">
        <v>-8.5</v>
      </c>
      <c r="CF10" s="285">
        <v>-9.4</v>
      </c>
      <c r="CG10" s="354">
        <v>-9.4</v>
      </c>
      <c r="CH10" s="354">
        <v>-9.6</v>
      </c>
      <c r="CI10" s="368">
        <v>-9.6</v>
      </c>
      <c r="CJ10" s="354">
        <v>-10.6</v>
      </c>
      <c r="CK10" s="354">
        <v>-10.6</v>
      </c>
      <c r="CL10" s="368">
        <v>-10.6</v>
      </c>
      <c r="CM10" s="354">
        <f>-48343*100/1062900</f>
        <v>-4.548217141781917</v>
      </c>
      <c r="CN10" s="354">
        <f>-70075*100/1026156</f>
        <v>-6.828883717485451</v>
      </c>
      <c r="CO10" s="368">
        <v>-7.1</v>
      </c>
      <c r="CP10" s="411">
        <f>-60409*100/1047385</f>
        <v>-5.767602171121412</v>
      </c>
    </row>
    <row r="11" spans="2:94" ht="12.75">
      <c r="B11" s="13" t="s">
        <v>5</v>
      </c>
      <c r="C11" s="8">
        <v>-5.5</v>
      </c>
      <c r="D11" s="47">
        <v>-1.3</v>
      </c>
      <c r="E11" s="48">
        <v>-1.3</v>
      </c>
      <c r="F11" s="72">
        <v>-1.4</v>
      </c>
      <c r="G11" s="72">
        <v>-1.4</v>
      </c>
      <c r="H11" s="25">
        <v>-1.4</v>
      </c>
      <c r="I11" s="18">
        <v>-1.4</v>
      </c>
      <c r="J11" s="54">
        <v>-1.4</v>
      </c>
      <c r="K11" s="55">
        <v>-1.4</v>
      </c>
      <c r="L11" s="72">
        <v>-1.5</v>
      </c>
      <c r="M11" s="72">
        <v>-1.5</v>
      </c>
      <c r="N11" s="25">
        <v>-1.5</v>
      </c>
      <c r="O11" s="25">
        <v>-1.5</v>
      </c>
      <c r="P11" s="91">
        <v>-1.5</v>
      </c>
      <c r="Q11" s="92">
        <v>-1.6</v>
      </c>
      <c r="R11" s="72">
        <v>-3.2</v>
      </c>
      <c r="S11" s="72">
        <v>-3.1</v>
      </c>
      <c r="T11" s="25">
        <v>-3.2</v>
      </c>
      <c r="U11" s="25">
        <v>-3.2</v>
      </c>
      <c r="V11" s="91">
        <v>-3.2</v>
      </c>
      <c r="W11" s="91">
        <v>-3.2</v>
      </c>
      <c r="X11" s="115">
        <v>-3.2</v>
      </c>
      <c r="Y11" s="116">
        <v>-3.2</v>
      </c>
      <c r="Z11" s="25">
        <v>-4.1</v>
      </c>
      <c r="AA11" s="25">
        <v>-4.1</v>
      </c>
      <c r="AB11" s="91">
        <v>-4.2</v>
      </c>
      <c r="AC11" s="91">
        <v>-4.2</v>
      </c>
      <c r="AD11" s="115">
        <v>-4.2</v>
      </c>
      <c r="AE11" s="115">
        <v>-4.2</v>
      </c>
      <c r="AF11" s="137">
        <v>-4.1</v>
      </c>
      <c r="AG11" s="138">
        <v>-4.1</v>
      </c>
      <c r="AH11" s="91">
        <v>-3.7</v>
      </c>
      <c r="AI11" s="91">
        <v>-3.6</v>
      </c>
      <c r="AJ11" s="115">
        <v>-3.7</v>
      </c>
      <c r="AK11" s="115">
        <v>-3.7</v>
      </c>
      <c r="AL11" s="137">
        <v>-3.6</v>
      </c>
      <c r="AM11" s="137">
        <v>-3.6</v>
      </c>
      <c r="AN11" s="165">
        <v>-3.6</v>
      </c>
      <c r="AO11" s="173">
        <v>-3.6</v>
      </c>
      <c r="AP11" s="115">
        <v>-2.9</v>
      </c>
      <c r="AQ11" s="115">
        <v>-2.9</v>
      </c>
      <c r="AR11" s="137">
        <v>-3</v>
      </c>
      <c r="AS11" s="137">
        <v>-2.9</v>
      </c>
      <c r="AT11" s="165">
        <v>-2.9</v>
      </c>
      <c r="AU11" s="164">
        <v>-2.9</v>
      </c>
      <c r="AV11" s="54">
        <v>-2.9</v>
      </c>
      <c r="AW11" s="201">
        <v>-2.9</v>
      </c>
      <c r="AX11" s="137">
        <v>-2.5</v>
      </c>
      <c r="AY11" s="137">
        <v>-2.5</v>
      </c>
      <c r="AZ11" s="165">
        <v>-2.4</v>
      </c>
      <c r="BA11" s="165">
        <v>-2.4</v>
      </c>
      <c r="BB11" s="54">
        <v>-2.3</v>
      </c>
      <c r="BC11" s="54">
        <v>-2.3</v>
      </c>
      <c r="BD11" s="237">
        <v>-2.3</v>
      </c>
      <c r="BE11" s="221">
        <v>-2.3</v>
      </c>
      <c r="BF11" s="54">
        <v>-3.4</v>
      </c>
      <c r="BG11" s="54">
        <v>-3.4</v>
      </c>
      <c r="BH11" s="237">
        <v>-3.3</v>
      </c>
      <c r="BI11" s="77">
        <v>-3.3</v>
      </c>
      <c r="BJ11" s="256">
        <v>-3.3</v>
      </c>
      <c r="BK11" s="256">
        <v>-3.3</v>
      </c>
      <c r="BL11" s="270">
        <v>-3.3</v>
      </c>
      <c r="BM11" s="419">
        <v>-3.3</v>
      </c>
      <c r="BN11" s="224">
        <v>-7.5</v>
      </c>
      <c r="BO11" s="224">
        <v>-7.5</v>
      </c>
      <c r="BP11" s="256">
        <v>-7.5</v>
      </c>
      <c r="BQ11" s="256">
        <v>-7.5</v>
      </c>
      <c r="BR11" s="285">
        <v>-7.5</v>
      </c>
      <c r="BS11" s="285">
        <v>-7.5</v>
      </c>
      <c r="BT11" s="305">
        <v>-7.5</v>
      </c>
      <c r="BU11" s="361">
        <v>-7.5</v>
      </c>
      <c r="BV11" s="255">
        <v>-7</v>
      </c>
      <c r="BW11" s="255">
        <v>-7.1</v>
      </c>
      <c r="BX11" s="285">
        <v>-7.1</v>
      </c>
      <c r="BY11" s="285">
        <v>-7.1</v>
      </c>
      <c r="BZ11" s="290">
        <v>-7.1</v>
      </c>
      <c r="CA11" s="290">
        <v>-7.1</v>
      </c>
      <c r="CB11" s="367">
        <v>-7</v>
      </c>
      <c r="CC11" s="255">
        <v>-5.7</v>
      </c>
      <c r="CD11" s="255">
        <v>-5.7</v>
      </c>
      <c r="CE11" s="285">
        <v>-5.2</v>
      </c>
      <c r="CF11" s="285">
        <v>-5.2</v>
      </c>
      <c r="CG11" s="354">
        <v>-5.3</v>
      </c>
      <c r="CH11" s="354">
        <v>-5.3</v>
      </c>
      <c r="CI11" s="368">
        <v>-5.2</v>
      </c>
      <c r="CJ11" s="354">
        <v>-4.8</v>
      </c>
      <c r="CK11" s="354">
        <v>-4.8</v>
      </c>
      <c r="CL11" s="368">
        <v>-4.9</v>
      </c>
      <c r="CM11" s="354">
        <f>-76652*100/2067447</f>
        <v>-3.7075678360799578</v>
      </c>
      <c r="CN11" s="354">
        <f>-84901*100/2068316</f>
        <v>-4.10483697848878</v>
      </c>
      <c r="CO11" s="368">
        <v>-4.3</v>
      </c>
      <c r="CP11" s="411">
        <f>-79211*100/2105160</f>
        <v>-3.7627068726367594</v>
      </c>
    </row>
    <row r="12" spans="2:94" ht="12.75">
      <c r="B12" s="13" t="s">
        <v>6</v>
      </c>
      <c r="C12" s="8">
        <v>-2.2</v>
      </c>
      <c r="D12" s="47">
        <v>4.5</v>
      </c>
      <c r="E12" s="48">
        <v>4.4</v>
      </c>
      <c r="F12" s="72">
        <v>4.5</v>
      </c>
      <c r="G12" s="72">
        <v>4.4</v>
      </c>
      <c r="H12" s="25">
        <v>4.4</v>
      </c>
      <c r="I12" s="18">
        <v>4.4</v>
      </c>
      <c r="J12" s="54">
        <v>1.7</v>
      </c>
      <c r="K12" s="55">
        <v>1.6</v>
      </c>
      <c r="L12" s="72">
        <v>1.2</v>
      </c>
      <c r="M12" s="72">
        <v>0.9</v>
      </c>
      <c r="N12" s="25">
        <v>1.1</v>
      </c>
      <c r="O12" s="25">
        <v>0.9</v>
      </c>
      <c r="P12" s="91">
        <v>0.9</v>
      </c>
      <c r="Q12" s="92">
        <v>0.8</v>
      </c>
      <c r="R12" s="72">
        <v>0</v>
      </c>
      <c r="S12" s="72">
        <v>-0.2</v>
      </c>
      <c r="T12" s="25">
        <v>-0.2</v>
      </c>
      <c r="U12" s="25">
        <v>-0.2</v>
      </c>
      <c r="V12" s="91">
        <v>-0.4</v>
      </c>
      <c r="W12" s="91">
        <v>-0.4</v>
      </c>
      <c r="X12" s="115">
        <v>-0.4</v>
      </c>
      <c r="Y12" s="116">
        <v>-0.4</v>
      </c>
      <c r="Z12" s="25">
        <v>0.2</v>
      </c>
      <c r="AA12" s="25">
        <v>0.1</v>
      </c>
      <c r="AB12" s="91">
        <v>0.2</v>
      </c>
      <c r="AC12" s="91">
        <v>0.2</v>
      </c>
      <c r="AD12" s="115">
        <v>0.2</v>
      </c>
      <c r="AE12" s="115">
        <v>0.3</v>
      </c>
      <c r="AF12" s="137">
        <v>0.4</v>
      </c>
      <c r="AG12" s="138">
        <v>0.4</v>
      </c>
      <c r="AH12" s="91">
        <v>1.3</v>
      </c>
      <c r="AI12" s="91">
        <v>1.4</v>
      </c>
      <c r="AJ12" s="115">
        <v>1.5</v>
      </c>
      <c r="AK12" s="115">
        <v>1.5</v>
      </c>
      <c r="AL12" s="137">
        <v>1.4</v>
      </c>
      <c r="AM12" s="137">
        <v>1.3</v>
      </c>
      <c r="AN12" s="164">
        <v>1.4</v>
      </c>
      <c r="AO12" s="174">
        <v>1.4</v>
      </c>
      <c r="AP12" s="128">
        <v>1</v>
      </c>
      <c r="AQ12" s="128">
        <v>1.1</v>
      </c>
      <c r="AR12" s="148">
        <v>1</v>
      </c>
      <c r="AS12" s="148">
        <v>1.2</v>
      </c>
      <c r="AT12" s="164">
        <v>1.6</v>
      </c>
      <c r="AU12" s="165">
        <v>1.7</v>
      </c>
      <c r="AV12" s="60">
        <v>1.7</v>
      </c>
      <c r="AW12" s="202">
        <v>1.7</v>
      </c>
      <c r="AX12" s="137">
        <v>2.9</v>
      </c>
      <c r="AY12" s="148">
        <v>2.9</v>
      </c>
      <c r="AZ12" s="164">
        <v>3</v>
      </c>
      <c r="BA12" s="164">
        <v>3</v>
      </c>
      <c r="BB12" s="60">
        <v>3</v>
      </c>
      <c r="BC12" s="60">
        <v>3</v>
      </c>
      <c r="BD12" s="236">
        <v>3</v>
      </c>
      <c r="BE12" s="222">
        <v>2.9</v>
      </c>
      <c r="BF12" s="60">
        <v>-7.1</v>
      </c>
      <c r="BG12" s="60">
        <v>-7.2</v>
      </c>
      <c r="BH12" s="236">
        <v>-7.3</v>
      </c>
      <c r="BI12" s="224">
        <v>-7.3</v>
      </c>
      <c r="BJ12" s="255">
        <v>-7.3</v>
      </c>
      <c r="BK12" s="255">
        <v>-7.3</v>
      </c>
      <c r="BL12" s="270">
        <v>-7.3</v>
      </c>
      <c r="BM12" s="419">
        <v>-7.4</v>
      </c>
      <c r="BN12" s="77">
        <v>-14.3</v>
      </c>
      <c r="BO12" s="77">
        <v>-14.4</v>
      </c>
      <c r="BP12" s="256">
        <v>-14.3</v>
      </c>
      <c r="BQ12" s="256">
        <v>-14.2</v>
      </c>
      <c r="BR12" s="285">
        <v>-14</v>
      </c>
      <c r="BS12" s="285">
        <v>-13.9</v>
      </c>
      <c r="BT12" s="303">
        <v>-13.9</v>
      </c>
      <c r="BU12" s="362">
        <v>-13.7</v>
      </c>
      <c r="BV12" s="256">
        <v>-32.4</v>
      </c>
      <c r="BW12" s="256">
        <v>-31.3</v>
      </c>
      <c r="BX12" s="285">
        <v>-31.2</v>
      </c>
      <c r="BY12" s="285">
        <v>-30.9</v>
      </c>
      <c r="BZ12" s="354">
        <v>-30.8</v>
      </c>
      <c r="CA12" s="354">
        <v>-30.6</v>
      </c>
      <c r="CB12" s="368">
        <v>-30.6</v>
      </c>
      <c r="CC12" s="256">
        <v>-9.5</v>
      </c>
      <c r="CD12" s="256">
        <v>-10</v>
      </c>
      <c r="CE12" s="285">
        <v>-13.1</v>
      </c>
      <c r="CF12" s="285">
        <v>-13.4</v>
      </c>
      <c r="CG12" s="354">
        <v>-13.4</v>
      </c>
      <c r="CH12" s="354">
        <v>-13.1</v>
      </c>
      <c r="CI12" s="368">
        <v>-13.1</v>
      </c>
      <c r="CJ12" s="354">
        <v>-7.6</v>
      </c>
      <c r="CK12" s="354">
        <v>-8.2</v>
      </c>
      <c r="CL12" s="368">
        <v>-8.2</v>
      </c>
      <c r="CM12" s="354">
        <f>-12575*100/167900</f>
        <v>-7.489577129243598</v>
      </c>
      <c r="CN12" s="354">
        <f>-12149*100/165875</f>
        <v>-7.324189902034664</v>
      </c>
      <c r="CO12" s="368">
        <v>-7.2</v>
      </c>
      <c r="CP12" s="411">
        <f>-8088*100/168385</f>
        <v>-4.80327820174006</v>
      </c>
    </row>
    <row r="13" spans="2:94" ht="12.75">
      <c r="B13" s="13" t="s">
        <v>7</v>
      </c>
      <c r="C13" s="8">
        <v>-7.6</v>
      </c>
      <c r="D13" s="47">
        <v>-0.5</v>
      </c>
      <c r="E13" s="48">
        <v>-0.5</v>
      </c>
      <c r="F13" s="72">
        <v>-0.6</v>
      </c>
      <c r="G13" s="72">
        <v>-0.6</v>
      </c>
      <c r="H13" s="25">
        <v>-0.6</v>
      </c>
      <c r="I13" s="18">
        <v>-0.6</v>
      </c>
      <c r="J13" s="54">
        <v>-1.4</v>
      </c>
      <c r="K13" s="55">
        <v>-2.2</v>
      </c>
      <c r="L13" s="72">
        <v>-2.6</v>
      </c>
      <c r="M13" s="72">
        <v>-2.6</v>
      </c>
      <c r="N13" s="25">
        <v>-2.6</v>
      </c>
      <c r="O13" s="25">
        <v>-2.6</v>
      </c>
      <c r="P13" s="91">
        <v>-3</v>
      </c>
      <c r="Q13" s="92">
        <v>-3.2</v>
      </c>
      <c r="R13" s="72">
        <v>-2.3</v>
      </c>
      <c r="S13" s="72">
        <v>-2.3</v>
      </c>
      <c r="T13" s="25">
        <v>-2.3</v>
      </c>
      <c r="U13" s="25">
        <v>-2.3</v>
      </c>
      <c r="V13" s="91">
        <v>-2.6</v>
      </c>
      <c r="W13" s="91">
        <v>-2.7</v>
      </c>
      <c r="X13" s="115">
        <v>-2.9</v>
      </c>
      <c r="Y13" s="116">
        <v>-2.9</v>
      </c>
      <c r="Z13" s="25">
        <v>-2.4</v>
      </c>
      <c r="AA13" s="25">
        <v>-2.4</v>
      </c>
      <c r="AB13" s="91">
        <v>-2.9</v>
      </c>
      <c r="AC13" s="91">
        <v>-3.2</v>
      </c>
      <c r="AD13" s="115">
        <v>-3.4</v>
      </c>
      <c r="AE13" s="115">
        <v>-3.5</v>
      </c>
      <c r="AF13" s="137">
        <v>-3.5</v>
      </c>
      <c r="AG13" s="138">
        <v>-3.5</v>
      </c>
      <c r="AH13" s="91">
        <v>-3</v>
      </c>
      <c r="AI13" s="91">
        <v>-3.2</v>
      </c>
      <c r="AJ13" s="115">
        <v>-3.4</v>
      </c>
      <c r="AK13" s="115">
        <v>-3.4</v>
      </c>
      <c r="AL13" s="137">
        <v>-3.5</v>
      </c>
      <c r="AM13" s="137">
        <v>-3.5</v>
      </c>
      <c r="AN13" s="165">
        <v>-3.5</v>
      </c>
      <c r="AO13" s="173">
        <v>-3.5</v>
      </c>
      <c r="AP13" s="115">
        <v>-4.1</v>
      </c>
      <c r="AQ13" s="115">
        <v>-4.1</v>
      </c>
      <c r="AR13" s="137">
        <v>-4.2</v>
      </c>
      <c r="AS13" s="137">
        <v>-4.2</v>
      </c>
      <c r="AT13" s="165">
        <v>-4.2</v>
      </c>
      <c r="AU13" s="164">
        <v>-4.3</v>
      </c>
      <c r="AV13" s="54">
        <v>-4.3</v>
      </c>
      <c r="AW13" s="201">
        <v>-4.3</v>
      </c>
      <c r="AX13" s="137">
        <v>-4.4</v>
      </c>
      <c r="AY13" s="137">
        <v>-4.4</v>
      </c>
      <c r="AZ13" s="165">
        <v>-3.4</v>
      </c>
      <c r="BA13" s="165">
        <v>-3.4</v>
      </c>
      <c r="BB13" s="54">
        <v>-3.3</v>
      </c>
      <c r="BC13" s="54">
        <v>-3.3</v>
      </c>
      <c r="BD13" s="237">
        <v>-3.3</v>
      </c>
      <c r="BE13" s="221">
        <v>-3.4</v>
      </c>
      <c r="BF13" s="54">
        <v>-2.7</v>
      </c>
      <c r="BG13" s="54">
        <v>-2.7</v>
      </c>
      <c r="BH13" s="237">
        <v>-2.7</v>
      </c>
      <c r="BI13" s="77">
        <v>-2.7</v>
      </c>
      <c r="BJ13" s="256">
        <v>-2.7</v>
      </c>
      <c r="BK13" s="256">
        <v>-2.7</v>
      </c>
      <c r="BL13" s="270">
        <v>-2.7</v>
      </c>
      <c r="BM13" s="419">
        <v>-2.7</v>
      </c>
      <c r="BN13" s="224">
        <v>-5.3</v>
      </c>
      <c r="BO13" s="224">
        <v>-5.3</v>
      </c>
      <c r="BP13" s="256">
        <v>-5.4</v>
      </c>
      <c r="BQ13" s="256">
        <v>-5.4</v>
      </c>
      <c r="BR13" s="285">
        <v>-5.4</v>
      </c>
      <c r="BS13" s="285">
        <v>-5.4</v>
      </c>
      <c r="BT13" s="305">
        <v>-5.5</v>
      </c>
      <c r="BU13" s="361">
        <v>-5.5</v>
      </c>
      <c r="BV13" s="255">
        <v>-4.6</v>
      </c>
      <c r="BW13" s="255">
        <v>-4.6</v>
      </c>
      <c r="BX13" s="285">
        <v>-4.6</v>
      </c>
      <c r="BY13" s="285">
        <v>-4.5</v>
      </c>
      <c r="BZ13" s="290">
        <v>-4.5</v>
      </c>
      <c r="CA13" s="290">
        <v>-4.5</v>
      </c>
      <c r="CB13" s="367">
        <v>-4.5</v>
      </c>
      <c r="CC13" s="255">
        <v>-3.9</v>
      </c>
      <c r="CD13" s="255">
        <v>-3.9</v>
      </c>
      <c r="CE13" s="285">
        <v>-3.9</v>
      </c>
      <c r="CF13" s="285">
        <v>-3.9</v>
      </c>
      <c r="CG13" s="354">
        <v>-3.8</v>
      </c>
      <c r="CH13" s="354">
        <v>-3.8</v>
      </c>
      <c r="CI13" s="368">
        <v>-3.7</v>
      </c>
      <c r="CJ13" s="354">
        <v>-3</v>
      </c>
      <c r="CK13" s="354">
        <v>-3</v>
      </c>
      <c r="CL13" s="368">
        <v>-3</v>
      </c>
      <c r="CM13" s="354">
        <f>-45408*100/1573233</f>
        <v>-2.886285756782371</v>
      </c>
      <c r="CN13" s="354">
        <f>-47186*100/1557307</f>
        <v>-3.0299741797860023</v>
      </c>
      <c r="CO13" s="368">
        <v>-3</v>
      </c>
      <c r="CP13" s="411">
        <f>-41989*100/1587053</f>
        <v>-2.645721346420063</v>
      </c>
    </row>
    <row r="14" spans="2:94" ht="12.75">
      <c r="B14" s="13" t="s">
        <v>53</v>
      </c>
      <c r="C14" s="8">
        <v>2.6</v>
      </c>
      <c r="D14" s="47">
        <v>5.8</v>
      </c>
      <c r="E14" s="48">
        <v>5.6</v>
      </c>
      <c r="F14" s="72">
        <v>6.1</v>
      </c>
      <c r="G14" s="72">
        <v>6.4</v>
      </c>
      <c r="H14" s="25">
        <v>6.3</v>
      </c>
      <c r="I14" s="18">
        <v>6</v>
      </c>
      <c r="J14" s="54">
        <v>5</v>
      </c>
      <c r="K14" s="55">
        <v>6.1</v>
      </c>
      <c r="L14" s="72">
        <v>6.4</v>
      </c>
      <c r="M14" s="72">
        <v>6.2</v>
      </c>
      <c r="N14" s="25">
        <v>6.3</v>
      </c>
      <c r="O14" s="25">
        <v>6.4</v>
      </c>
      <c r="P14" s="91">
        <v>6.2</v>
      </c>
      <c r="Q14" s="92">
        <v>6.1</v>
      </c>
      <c r="R14" s="72">
        <v>2.5</v>
      </c>
      <c r="S14" s="72">
        <v>2.4</v>
      </c>
      <c r="T14" s="25">
        <v>2.7</v>
      </c>
      <c r="U14" s="25">
        <v>2.8</v>
      </c>
      <c r="V14" s="91">
        <v>2.3</v>
      </c>
      <c r="W14" s="91">
        <v>2.1</v>
      </c>
      <c r="X14" s="115">
        <v>2</v>
      </c>
      <c r="Y14" s="116">
        <v>2.1</v>
      </c>
      <c r="Z14" s="25">
        <v>-0.1</v>
      </c>
      <c r="AA14" s="25">
        <v>0.8</v>
      </c>
      <c r="AB14" s="91">
        <v>0.5</v>
      </c>
      <c r="AC14" s="91">
        <v>0.2</v>
      </c>
      <c r="AD14" s="115">
        <v>0.2</v>
      </c>
      <c r="AE14" s="115">
        <v>0.3</v>
      </c>
      <c r="AF14" s="137">
        <v>0.4</v>
      </c>
      <c r="AG14" s="138">
        <v>0.5</v>
      </c>
      <c r="AH14" s="91">
        <v>-1.1</v>
      </c>
      <c r="AI14" s="91">
        <v>-0.6</v>
      </c>
      <c r="AJ14" s="115">
        <v>-1.1</v>
      </c>
      <c r="AK14" s="115">
        <v>-1.1</v>
      </c>
      <c r="AL14" s="137">
        <v>-1.2</v>
      </c>
      <c r="AM14" s="137">
        <v>-1.2</v>
      </c>
      <c r="AN14" s="164">
        <v>-1.2</v>
      </c>
      <c r="AO14" s="174">
        <v>-1.2</v>
      </c>
      <c r="AP14" s="128">
        <v>-1.9</v>
      </c>
      <c r="AQ14" s="128">
        <v>-1</v>
      </c>
      <c r="AR14" s="148">
        <v>-0.3</v>
      </c>
      <c r="AS14" s="148">
        <v>-0.1</v>
      </c>
      <c r="AT14" s="164">
        <v>-0.1</v>
      </c>
      <c r="AU14" s="165">
        <v>-0.1</v>
      </c>
      <c r="AV14" s="60">
        <v>0</v>
      </c>
      <c r="AW14" s="202">
        <v>0</v>
      </c>
      <c r="AX14" s="137">
        <v>0.1</v>
      </c>
      <c r="AY14" s="148">
        <v>0.7</v>
      </c>
      <c r="AZ14" s="164">
        <v>1.3</v>
      </c>
      <c r="BA14" s="164">
        <v>1.3</v>
      </c>
      <c r="BB14" s="60">
        <v>1.4</v>
      </c>
      <c r="BC14" s="60">
        <v>1.3</v>
      </c>
      <c r="BD14" s="236">
        <v>1.4</v>
      </c>
      <c r="BE14" s="222">
        <v>1.4</v>
      </c>
      <c r="BF14" s="60">
        <v>2.6</v>
      </c>
      <c r="BG14" s="60">
        <v>2.5</v>
      </c>
      <c r="BH14" s="236">
        <v>2.9</v>
      </c>
      <c r="BI14" s="224">
        <v>3</v>
      </c>
      <c r="BJ14" s="255">
        <v>3</v>
      </c>
      <c r="BK14" s="255">
        <v>3</v>
      </c>
      <c r="BL14" s="270">
        <v>3</v>
      </c>
      <c r="BM14" s="419">
        <v>3.2</v>
      </c>
      <c r="BN14" s="77">
        <v>-0.7</v>
      </c>
      <c r="BO14" s="77">
        <v>-0.7</v>
      </c>
      <c r="BP14" s="256">
        <v>-0.9</v>
      </c>
      <c r="BQ14" s="256">
        <v>-0.9</v>
      </c>
      <c r="BR14" s="285">
        <v>-0.8</v>
      </c>
      <c r="BS14" s="285">
        <v>-0.8</v>
      </c>
      <c r="BT14" s="303">
        <v>-0.8</v>
      </c>
      <c r="BU14" s="362">
        <v>-0.7</v>
      </c>
      <c r="BV14" s="256">
        <v>-1.7</v>
      </c>
      <c r="BW14" s="256">
        <v>-1.1</v>
      </c>
      <c r="BX14" s="285">
        <v>-0.9</v>
      </c>
      <c r="BY14" s="285">
        <v>-0.8</v>
      </c>
      <c r="BZ14" s="354">
        <v>-0.9</v>
      </c>
      <c r="CA14" s="354">
        <v>-0.8</v>
      </c>
      <c r="CB14" s="368">
        <v>-0.8</v>
      </c>
      <c r="CC14" s="256">
        <v>-1.5</v>
      </c>
      <c r="CD14" s="256">
        <v>-0.6</v>
      </c>
      <c r="CE14" s="285">
        <v>-0.6</v>
      </c>
      <c r="CF14" s="285">
        <v>-0.3</v>
      </c>
      <c r="CG14" s="354">
        <v>-0.2</v>
      </c>
      <c r="CH14" s="354">
        <v>0.1</v>
      </c>
      <c r="CI14" s="368">
        <v>0.2</v>
      </c>
      <c r="CJ14" s="354">
        <v>-0.8</v>
      </c>
      <c r="CK14" s="354">
        <v>-0.6</v>
      </c>
      <c r="CL14" s="368">
        <v>0</v>
      </c>
      <c r="CM14" s="354">
        <f>-341*100/45554</f>
        <v>-0.7485621460244984</v>
      </c>
      <c r="CN14" s="354">
        <f>-413*100/44274</f>
        <v>-0.9328273930523557</v>
      </c>
      <c r="CO14" s="368">
        <v>0.1</v>
      </c>
      <c r="CP14" s="411">
        <f>63*100/48802</f>
        <v>0.12909306995614933</v>
      </c>
    </row>
    <row r="15" spans="2:94" ht="12.75">
      <c r="B15" s="13" t="s">
        <v>9</v>
      </c>
      <c r="C15" s="8">
        <v>-4.2</v>
      </c>
      <c r="D15" s="47">
        <v>2.2</v>
      </c>
      <c r="E15" s="48">
        <v>2.2</v>
      </c>
      <c r="F15" s="72">
        <v>2.2</v>
      </c>
      <c r="G15" s="72">
        <v>2.2</v>
      </c>
      <c r="H15" s="25">
        <v>2.2</v>
      </c>
      <c r="I15" s="18">
        <v>2.2</v>
      </c>
      <c r="J15" s="54">
        <v>0.2</v>
      </c>
      <c r="K15" s="55">
        <v>0.1</v>
      </c>
      <c r="L15" s="72">
        <v>0.1</v>
      </c>
      <c r="M15" s="72">
        <v>0</v>
      </c>
      <c r="N15" s="25">
        <v>0</v>
      </c>
      <c r="O15" s="25">
        <v>-0.1</v>
      </c>
      <c r="P15" s="91">
        <v>-0.1</v>
      </c>
      <c r="Q15" s="92">
        <v>-0.2</v>
      </c>
      <c r="R15" s="72">
        <v>-1.1</v>
      </c>
      <c r="S15" s="72">
        <v>-1.6</v>
      </c>
      <c r="T15" s="25">
        <v>-1.9</v>
      </c>
      <c r="U15" s="25">
        <v>-1.9</v>
      </c>
      <c r="V15" s="91">
        <v>-1.9</v>
      </c>
      <c r="W15" s="91">
        <v>-2</v>
      </c>
      <c r="X15" s="115">
        <v>-2</v>
      </c>
      <c r="Y15" s="116">
        <v>-2</v>
      </c>
      <c r="Z15" s="25">
        <v>-3</v>
      </c>
      <c r="AA15" s="25">
        <v>-3.2</v>
      </c>
      <c r="AB15" s="91">
        <v>-3.2</v>
      </c>
      <c r="AC15" s="91">
        <v>-3.2</v>
      </c>
      <c r="AD15" s="115">
        <v>-3.1</v>
      </c>
      <c r="AE15" s="115">
        <v>-3.1</v>
      </c>
      <c r="AF15" s="137">
        <v>-3.1</v>
      </c>
      <c r="AG15" s="138">
        <v>-3.1</v>
      </c>
      <c r="AH15" s="91">
        <v>-2.5</v>
      </c>
      <c r="AI15" s="91">
        <v>-2.1</v>
      </c>
      <c r="AJ15" s="115">
        <v>-1.9</v>
      </c>
      <c r="AK15" s="115">
        <v>-1.8</v>
      </c>
      <c r="AL15" s="137">
        <v>-1.8</v>
      </c>
      <c r="AM15" s="137">
        <v>-1.7</v>
      </c>
      <c r="AN15" s="165">
        <v>-1.7</v>
      </c>
      <c r="AO15" s="173">
        <v>-1.7</v>
      </c>
      <c r="AP15" s="115">
        <v>-0.3</v>
      </c>
      <c r="AQ15" s="115">
        <v>-0.3</v>
      </c>
      <c r="AR15" s="137">
        <v>-0.3</v>
      </c>
      <c r="AS15" s="137">
        <v>-0.3</v>
      </c>
      <c r="AT15" s="165">
        <v>-0.3</v>
      </c>
      <c r="AU15" s="164">
        <v>-0.3</v>
      </c>
      <c r="AV15" s="54">
        <v>-0.3</v>
      </c>
      <c r="AW15" s="201">
        <v>-0.3</v>
      </c>
      <c r="AX15" s="137">
        <v>0.6</v>
      </c>
      <c r="AY15" s="137">
        <v>0.6</v>
      </c>
      <c r="AZ15" s="165">
        <v>0.5</v>
      </c>
      <c r="BA15" s="165">
        <v>0.6</v>
      </c>
      <c r="BB15" s="54">
        <v>0.6</v>
      </c>
      <c r="BC15" s="54">
        <v>0.5</v>
      </c>
      <c r="BD15" s="237">
        <v>0.5</v>
      </c>
      <c r="BE15" s="221">
        <v>0.5</v>
      </c>
      <c r="BF15" s="54">
        <v>1</v>
      </c>
      <c r="BG15" s="54">
        <v>0.7</v>
      </c>
      <c r="BH15" s="237">
        <v>0.7</v>
      </c>
      <c r="BI15" s="77">
        <v>0.6</v>
      </c>
      <c r="BJ15" s="256">
        <v>0.6</v>
      </c>
      <c r="BK15" s="256">
        <v>0.5</v>
      </c>
      <c r="BL15" s="270">
        <v>0.5</v>
      </c>
      <c r="BM15" s="419">
        <v>0.5</v>
      </c>
      <c r="BN15" s="224">
        <v>-5.3</v>
      </c>
      <c r="BO15" s="224">
        <v>-5.4</v>
      </c>
      <c r="BP15" s="256">
        <v>-5.5</v>
      </c>
      <c r="BQ15" s="256">
        <v>-5.6</v>
      </c>
      <c r="BR15" s="285">
        <v>-5.6</v>
      </c>
      <c r="BS15" s="285">
        <v>-5.6</v>
      </c>
      <c r="BT15" s="305">
        <v>-5.6</v>
      </c>
      <c r="BU15" s="361">
        <v>-5.6</v>
      </c>
      <c r="BV15" s="255">
        <v>-5.4</v>
      </c>
      <c r="BW15" s="255">
        <v>-5.1</v>
      </c>
      <c r="BX15" s="285">
        <v>-5.1</v>
      </c>
      <c r="BY15" s="285">
        <v>-5.1</v>
      </c>
      <c r="BZ15" s="290">
        <v>-5.1</v>
      </c>
      <c r="CA15" s="290">
        <v>-5.1</v>
      </c>
      <c r="CB15" s="367">
        <v>-5.1</v>
      </c>
      <c r="CC15" s="255">
        <v>-3.7</v>
      </c>
      <c r="CD15" s="255">
        <v>-4.2</v>
      </c>
      <c r="CE15" s="285">
        <v>-4.7</v>
      </c>
      <c r="CF15" s="285">
        <v>-4.5</v>
      </c>
      <c r="CG15" s="354">
        <v>-4.5</v>
      </c>
      <c r="CH15" s="354">
        <v>-4.3</v>
      </c>
      <c r="CI15" s="368">
        <v>-4.3</v>
      </c>
      <c r="CJ15" s="354">
        <v>-4.1</v>
      </c>
      <c r="CK15" s="354">
        <v>-4.1</v>
      </c>
      <c r="CL15" s="368">
        <v>-4.1</v>
      </c>
      <c r="CM15" s="354">
        <f>-19908*100/610020</f>
        <v>-3.263499557391561</v>
      </c>
      <c r="CN15" s="354">
        <f>-19010*100/601553</f>
        <v>-3.160153801909391</v>
      </c>
      <c r="CO15" s="393">
        <v>-2.5</v>
      </c>
      <c r="CP15" s="410">
        <f>-17267*100/615440</f>
        <v>-2.8056349928506434</v>
      </c>
    </row>
    <row r="16" spans="2:94" ht="12.75">
      <c r="B16" s="13" t="s">
        <v>10</v>
      </c>
      <c r="C16" s="8">
        <v>-5.3</v>
      </c>
      <c r="D16" s="47">
        <v>-1.5</v>
      </c>
      <c r="E16" s="48">
        <v>-1.5</v>
      </c>
      <c r="F16" s="72">
        <v>-1.5</v>
      </c>
      <c r="G16" s="72">
        <v>-1.5</v>
      </c>
      <c r="H16" s="25">
        <v>-1.5</v>
      </c>
      <c r="I16" s="18">
        <v>-1.5</v>
      </c>
      <c r="J16" s="54">
        <v>0.1</v>
      </c>
      <c r="K16" s="55">
        <v>0.2</v>
      </c>
      <c r="L16" s="72">
        <v>0.3</v>
      </c>
      <c r="M16" s="72">
        <v>0.3</v>
      </c>
      <c r="N16" s="25">
        <v>0.2</v>
      </c>
      <c r="O16" s="25">
        <v>0.3</v>
      </c>
      <c r="P16" s="91">
        <v>0.3</v>
      </c>
      <c r="Q16" s="92">
        <v>0.1</v>
      </c>
      <c r="R16" s="72">
        <v>-0.6</v>
      </c>
      <c r="S16" s="72">
        <v>-0.2</v>
      </c>
      <c r="T16" s="25">
        <v>-0.2</v>
      </c>
      <c r="U16" s="25">
        <v>-0.2</v>
      </c>
      <c r="V16" s="91">
        <v>-0.2</v>
      </c>
      <c r="W16" s="91">
        <v>-0.4</v>
      </c>
      <c r="X16" s="115">
        <v>-0.5</v>
      </c>
      <c r="Y16" s="116">
        <v>-0.5</v>
      </c>
      <c r="Z16" s="25">
        <v>-1.1</v>
      </c>
      <c r="AA16" s="25">
        <v>-1.1</v>
      </c>
      <c r="AB16" s="91">
        <v>-1.1</v>
      </c>
      <c r="AC16" s="91">
        <v>-1.2</v>
      </c>
      <c r="AD16" s="115">
        <v>-1.5</v>
      </c>
      <c r="AE16" s="115">
        <v>-1.6</v>
      </c>
      <c r="AF16" s="137">
        <v>-1.6</v>
      </c>
      <c r="AG16" s="138">
        <v>-1.6</v>
      </c>
      <c r="AH16" s="91">
        <v>-1.3</v>
      </c>
      <c r="AI16" s="91">
        <v>-1</v>
      </c>
      <c r="AJ16" s="115">
        <v>-1.1</v>
      </c>
      <c r="AK16" s="115">
        <v>-1.2</v>
      </c>
      <c r="AL16" s="137">
        <v>-1.2</v>
      </c>
      <c r="AM16" s="137">
        <v>-1.2</v>
      </c>
      <c r="AN16" s="164">
        <v>-3.7</v>
      </c>
      <c r="AO16" s="174">
        <v>-4.4</v>
      </c>
      <c r="AP16" s="128">
        <v>-1.5</v>
      </c>
      <c r="AQ16" s="128">
        <v>-1.5</v>
      </c>
      <c r="AR16" s="148">
        <v>-1.6</v>
      </c>
      <c r="AS16" s="148">
        <v>-1.6</v>
      </c>
      <c r="AT16" s="164">
        <v>-1.5</v>
      </c>
      <c r="AU16" s="165">
        <v>-1.5</v>
      </c>
      <c r="AV16" s="60">
        <v>-1.6</v>
      </c>
      <c r="AW16" s="202">
        <v>-1.6</v>
      </c>
      <c r="AX16" s="137">
        <v>-1.1</v>
      </c>
      <c r="AY16" s="148">
        <v>-1.4</v>
      </c>
      <c r="AZ16" s="164">
        <v>-1.5</v>
      </c>
      <c r="BA16" s="164">
        <v>-1.5</v>
      </c>
      <c r="BB16" s="60">
        <v>-1.6</v>
      </c>
      <c r="BC16" s="60">
        <v>-1.6</v>
      </c>
      <c r="BD16" s="236">
        <v>-1.5</v>
      </c>
      <c r="BE16" s="222">
        <v>-1.5</v>
      </c>
      <c r="BF16" s="60">
        <v>-0.4</v>
      </c>
      <c r="BG16" s="60">
        <v>-0.4</v>
      </c>
      <c r="BH16" s="236">
        <v>-0.4</v>
      </c>
      <c r="BI16" s="224">
        <v>-0.5</v>
      </c>
      <c r="BJ16" s="255">
        <v>-0.9</v>
      </c>
      <c r="BK16" s="255">
        <v>-0.9</v>
      </c>
      <c r="BL16" s="270">
        <v>-0.9</v>
      </c>
      <c r="BM16" s="419">
        <v>-0.9</v>
      </c>
      <c r="BN16" s="77">
        <v>-3.4</v>
      </c>
      <c r="BO16" s="77">
        <v>-3.5</v>
      </c>
      <c r="BP16" s="255">
        <v>-4.1</v>
      </c>
      <c r="BQ16" s="255">
        <v>-4.1</v>
      </c>
      <c r="BR16" s="285">
        <v>-4.1</v>
      </c>
      <c r="BS16" s="285">
        <v>-4.1</v>
      </c>
      <c r="BT16" s="303">
        <v>-4.1</v>
      </c>
      <c r="BU16" s="362">
        <v>-4.1</v>
      </c>
      <c r="BV16" s="256">
        <v>-4.6</v>
      </c>
      <c r="BW16" s="256">
        <v>-4.4</v>
      </c>
      <c r="BX16" s="285">
        <v>-4.5</v>
      </c>
      <c r="BY16" s="285">
        <v>-4.5</v>
      </c>
      <c r="BZ16" s="354">
        <v>-4.5</v>
      </c>
      <c r="CA16" s="354">
        <v>-4.5</v>
      </c>
      <c r="CB16" s="368">
        <v>-4.5</v>
      </c>
      <c r="CC16" s="256">
        <v>-3.9</v>
      </c>
      <c r="CD16" s="256">
        <v>-3.6</v>
      </c>
      <c r="CE16" s="285">
        <v>-2.6</v>
      </c>
      <c r="CF16" s="285">
        <v>-2.5</v>
      </c>
      <c r="CG16" s="354">
        <v>-2.5</v>
      </c>
      <c r="CH16" s="354">
        <v>-2.5</v>
      </c>
      <c r="CI16" s="368">
        <v>-2.5</v>
      </c>
      <c r="CJ16" s="354">
        <v>-2.5</v>
      </c>
      <c r="CK16" s="354">
        <v>-2.5</v>
      </c>
      <c r="CL16" s="368">
        <v>-2.6</v>
      </c>
      <c r="CM16" s="354">
        <f>-7447*100/319145</f>
        <v>-2.3334221122060503</v>
      </c>
      <c r="CN16" s="354">
        <f>-7221*100/314900</f>
        <v>-2.2931089234677677</v>
      </c>
      <c r="CO16" s="368">
        <v>-1.5</v>
      </c>
      <c r="CP16" s="411">
        <f>-8697*100/324142</f>
        <v>-2.6830833400176464</v>
      </c>
    </row>
    <row r="17" spans="2:94" ht="12.75">
      <c r="B17" s="13" t="s">
        <v>11</v>
      </c>
      <c r="C17" s="8">
        <v>-4.5</v>
      </c>
      <c r="D17" s="47">
        <v>-1.5</v>
      </c>
      <c r="E17" s="48">
        <v>-2.9</v>
      </c>
      <c r="F17" s="72">
        <v>-2.8</v>
      </c>
      <c r="G17" s="72">
        <v>-2.8</v>
      </c>
      <c r="H17" s="25">
        <v>-2.8</v>
      </c>
      <c r="I17" s="18">
        <v>-2.8</v>
      </c>
      <c r="J17" s="54">
        <v>-2.2</v>
      </c>
      <c r="K17" s="55">
        <v>-4.2</v>
      </c>
      <c r="L17" s="72">
        <v>-4.2</v>
      </c>
      <c r="M17" s="72">
        <v>-4.2</v>
      </c>
      <c r="N17" s="25">
        <v>-4.4</v>
      </c>
      <c r="O17" s="25">
        <v>-4.4</v>
      </c>
      <c r="P17" s="91">
        <v>-4.4</v>
      </c>
      <c r="Q17" s="92">
        <v>-4.2</v>
      </c>
      <c r="R17" s="72">
        <v>-2.8</v>
      </c>
      <c r="S17" s="72">
        <v>-2.7</v>
      </c>
      <c r="T17" s="25">
        <v>-2.7</v>
      </c>
      <c r="U17" s="25">
        <v>-2.7</v>
      </c>
      <c r="V17" s="91">
        <v>-2.7</v>
      </c>
      <c r="W17" s="91">
        <v>-2.8</v>
      </c>
      <c r="X17" s="115">
        <v>-2.9</v>
      </c>
      <c r="Y17" s="116">
        <v>-2.9</v>
      </c>
      <c r="Z17" s="25">
        <v>-2.8</v>
      </c>
      <c r="AA17" s="25">
        <v>-2.8</v>
      </c>
      <c r="AB17" s="91">
        <v>-2.9</v>
      </c>
      <c r="AC17" s="91">
        <v>-2.9</v>
      </c>
      <c r="AD17" s="115">
        <v>-2.9</v>
      </c>
      <c r="AE17" s="115">
        <v>-2.9</v>
      </c>
      <c r="AF17" s="137">
        <v>-2.9</v>
      </c>
      <c r="AG17" s="138">
        <v>-2.9</v>
      </c>
      <c r="AH17" s="91">
        <v>-2.9</v>
      </c>
      <c r="AI17" s="91">
        <v>-3</v>
      </c>
      <c r="AJ17" s="115">
        <v>-3.2</v>
      </c>
      <c r="AK17" s="115">
        <v>-3.2</v>
      </c>
      <c r="AL17" s="137">
        <v>-3.3</v>
      </c>
      <c r="AM17" s="137">
        <v>-3.4</v>
      </c>
      <c r="AN17" s="165">
        <v>-3.4</v>
      </c>
      <c r="AO17" s="173">
        <v>-3.4</v>
      </c>
      <c r="AP17" s="115">
        <v>-6</v>
      </c>
      <c r="AQ17" s="115">
        <v>-6</v>
      </c>
      <c r="AR17" s="137">
        <v>-6.1</v>
      </c>
      <c r="AS17" s="137">
        <v>-6.1</v>
      </c>
      <c r="AT17" s="165">
        <v>-6.1</v>
      </c>
      <c r="AU17" s="164">
        <v>-6.1</v>
      </c>
      <c r="AV17" s="54">
        <v>-6.1</v>
      </c>
      <c r="AW17" s="201">
        <v>-6.1</v>
      </c>
      <c r="AX17" s="137">
        <v>-3.9</v>
      </c>
      <c r="AY17" s="137">
        <v>-3.9</v>
      </c>
      <c r="AZ17" s="165">
        <v>-3.9</v>
      </c>
      <c r="BA17" s="165">
        <v>-3.9</v>
      </c>
      <c r="BB17" s="54">
        <v>-3.9</v>
      </c>
      <c r="BC17" s="54">
        <v>-3.9</v>
      </c>
      <c r="BD17" s="237">
        <v>-3.9</v>
      </c>
      <c r="BE17" s="221">
        <v>-4.1</v>
      </c>
      <c r="BF17" s="54">
        <v>-2.6</v>
      </c>
      <c r="BG17" s="54">
        <v>-2.7</v>
      </c>
      <c r="BH17" s="237">
        <v>-2.8</v>
      </c>
      <c r="BI17" s="77">
        <v>-2.9</v>
      </c>
      <c r="BJ17" s="256">
        <v>-3.5</v>
      </c>
      <c r="BK17" s="256">
        <v>-3.6</v>
      </c>
      <c r="BL17" s="270">
        <v>-3.6</v>
      </c>
      <c r="BM17" s="419">
        <v>-3.6</v>
      </c>
      <c r="BN17" s="224">
        <v>-9.4</v>
      </c>
      <c r="BO17" s="224">
        <v>-9.3</v>
      </c>
      <c r="BP17" s="256">
        <v>-10.1</v>
      </c>
      <c r="BQ17" s="256">
        <v>-10.1</v>
      </c>
      <c r="BR17" s="285">
        <v>-10.2</v>
      </c>
      <c r="BS17" s="285">
        <v>-10.2</v>
      </c>
      <c r="BT17" s="305">
        <v>-10.2</v>
      </c>
      <c r="BU17" s="361">
        <v>-10.2</v>
      </c>
      <c r="BV17" s="255">
        <v>-9.1</v>
      </c>
      <c r="BW17" s="255">
        <v>-9.8</v>
      </c>
      <c r="BX17" s="285">
        <v>-9.8</v>
      </c>
      <c r="BY17" s="285">
        <v>-9.8</v>
      </c>
      <c r="BZ17" s="290">
        <v>-9.8</v>
      </c>
      <c r="CA17" s="290">
        <v>-9.8</v>
      </c>
      <c r="CB17" s="367">
        <v>-9.8</v>
      </c>
      <c r="CC17" s="281" t="s">
        <v>61</v>
      </c>
      <c r="CD17" s="255">
        <v>-5.9</v>
      </c>
      <c r="CE17" s="285">
        <v>-4.2</v>
      </c>
      <c r="CF17" s="285">
        <v>-4.4</v>
      </c>
      <c r="CG17" s="354">
        <v>-4.4</v>
      </c>
      <c r="CH17" s="354">
        <v>-4.3</v>
      </c>
      <c r="CI17" s="368">
        <v>-4.3</v>
      </c>
      <c r="CJ17" s="354">
        <v>-6.4</v>
      </c>
      <c r="CK17" s="354">
        <v>-6.4</v>
      </c>
      <c r="CL17" s="368">
        <v>-6.4</v>
      </c>
      <c r="CM17" s="354">
        <f>-8975*100/164338</f>
        <v>-5.461305358468522</v>
      </c>
      <c r="CN17" s="354">
        <f>-9084*100/165379</f>
        <v>-5.492837663790445</v>
      </c>
      <c r="CO17" s="368">
        <v>-4.9</v>
      </c>
      <c r="CP17" s="411">
        <f>-6793*100/168955</f>
        <v>-4.020597200437987</v>
      </c>
    </row>
    <row r="18" spans="2:94" ht="12.75">
      <c r="B18" s="13" t="s">
        <v>12</v>
      </c>
      <c r="C18" s="8">
        <v>-3.7</v>
      </c>
      <c r="D18" s="48">
        <v>7</v>
      </c>
      <c r="E18" s="48">
        <v>7</v>
      </c>
      <c r="F18" s="72">
        <v>6.9</v>
      </c>
      <c r="G18" s="72">
        <v>7.1</v>
      </c>
      <c r="H18" s="25">
        <v>7.1</v>
      </c>
      <c r="I18" s="18">
        <v>7.1</v>
      </c>
      <c r="J18" s="54">
        <v>4.9</v>
      </c>
      <c r="K18" s="55">
        <v>4.9</v>
      </c>
      <c r="L18" s="72">
        <v>5.1</v>
      </c>
      <c r="M18" s="72">
        <v>5.2</v>
      </c>
      <c r="N18" s="25">
        <v>5.2</v>
      </c>
      <c r="O18" s="25">
        <v>5.2</v>
      </c>
      <c r="P18" s="91">
        <v>5.2</v>
      </c>
      <c r="Q18" s="92">
        <v>5.2</v>
      </c>
      <c r="R18" s="72">
        <v>4.7</v>
      </c>
      <c r="S18" s="72">
        <v>4.2</v>
      </c>
      <c r="T18" s="25">
        <v>4.3</v>
      </c>
      <c r="U18" s="25">
        <v>4.3</v>
      </c>
      <c r="V18" s="91">
        <v>4.3</v>
      </c>
      <c r="W18" s="91">
        <v>4.3</v>
      </c>
      <c r="X18" s="115">
        <v>4.1</v>
      </c>
      <c r="Y18" s="116">
        <v>4.1</v>
      </c>
      <c r="Z18" s="25">
        <v>2.3</v>
      </c>
      <c r="AA18" s="25">
        <v>2.3</v>
      </c>
      <c r="AB18" s="91">
        <v>2.5</v>
      </c>
      <c r="AC18" s="91">
        <v>2.5</v>
      </c>
      <c r="AD18" s="115">
        <v>2.5</v>
      </c>
      <c r="AE18" s="115">
        <v>2.5</v>
      </c>
      <c r="AF18" s="137">
        <v>2.5</v>
      </c>
      <c r="AG18" s="138">
        <v>2.5</v>
      </c>
      <c r="AH18" s="91">
        <v>2.1</v>
      </c>
      <c r="AI18" s="91">
        <v>2.1</v>
      </c>
      <c r="AJ18" s="115">
        <v>2.3</v>
      </c>
      <c r="AK18" s="115">
        <v>2.3</v>
      </c>
      <c r="AL18" s="137">
        <v>2.3</v>
      </c>
      <c r="AM18" s="137">
        <v>2.3</v>
      </c>
      <c r="AN18" s="164">
        <v>2.4</v>
      </c>
      <c r="AO18" s="174">
        <v>2.4</v>
      </c>
      <c r="AP18" s="128">
        <v>2.6</v>
      </c>
      <c r="AQ18" s="128">
        <v>2.7</v>
      </c>
      <c r="AR18" s="148">
        <v>2.7</v>
      </c>
      <c r="AS18" s="148">
        <v>2.7</v>
      </c>
      <c r="AT18" s="164">
        <v>2.9</v>
      </c>
      <c r="AU18" s="165">
        <v>2.9</v>
      </c>
      <c r="AV18" s="60">
        <v>2.8</v>
      </c>
      <c r="AW18" s="201">
        <v>2.8</v>
      </c>
      <c r="AX18" s="137">
        <v>3.9</v>
      </c>
      <c r="AY18" s="148">
        <v>3.8</v>
      </c>
      <c r="AZ18" s="164">
        <v>4.1</v>
      </c>
      <c r="BA18" s="164">
        <v>4.1</v>
      </c>
      <c r="BB18" s="60">
        <v>4</v>
      </c>
      <c r="BC18" s="60">
        <v>4</v>
      </c>
      <c r="BD18" s="236">
        <v>4</v>
      </c>
      <c r="BE18" s="222">
        <v>4</v>
      </c>
      <c r="BF18" s="54">
        <v>4.2</v>
      </c>
      <c r="BG18" s="60">
        <v>4.5</v>
      </c>
      <c r="BH18" s="236">
        <v>4.2</v>
      </c>
      <c r="BI18" s="224">
        <v>4.2</v>
      </c>
      <c r="BJ18" s="255">
        <v>4.2</v>
      </c>
      <c r="BK18" s="255">
        <v>4.3</v>
      </c>
      <c r="BL18" s="270">
        <v>4.3</v>
      </c>
      <c r="BM18" s="419">
        <v>4.4</v>
      </c>
      <c r="BN18" s="77">
        <v>-2.2</v>
      </c>
      <c r="BO18" s="77">
        <v>-2.5</v>
      </c>
      <c r="BP18" s="255">
        <v>-2.6</v>
      </c>
      <c r="BQ18" s="255">
        <v>-2.5</v>
      </c>
      <c r="BR18" s="285">
        <v>-2.5</v>
      </c>
      <c r="BS18" s="285">
        <v>-2.5</v>
      </c>
      <c r="BT18" s="303">
        <v>-2.5</v>
      </c>
      <c r="BU18" s="362">
        <v>-2.5</v>
      </c>
      <c r="BV18" s="256">
        <v>-2.5</v>
      </c>
      <c r="BW18" s="256">
        <v>-2.5</v>
      </c>
      <c r="BX18" s="285">
        <v>-2.5</v>
      </c>
      <c r="BY18" s="285">
        <v>-2.5</v>
      </c>
      <c r="BZ18" s="354">
        <v>-2.5</v>
      </c>
      <c r="CA18" s="354">
        <v>-2.5</v>
      </c>
      <c r="CB18" s="368">
        <v>-2.5</v>
      </c>
      <c r="CC18" s="256">
        <v>-0.9</v>
      </c>
      <c r="CD18" s="256">
        <v>-1.1</v>
      </c>
      <c r="CE18" s="285">
        <v>-0.5</v>
      </c>
      <c r="CF18" s="285">
        <v>-0.6</v>
      </c>
      <c r="CG18" s="381">
        <v>-0.8</v>
      </c>
      <c r="CH18" s="381">
        <v>-0.7</v>
      </c>
      <c r="CI18" s="394">
        <v>-0.7</v>
      </c>
      <c r="CJ18" s="381">
        <v>-1.9</v>
      </c>
      <c r="CK18" s="381">
        <v>-1.8</v>
      </c>
      <c r="CL18" s="394">
        <v>-1.8</v>
      </c>
      <c r="CM18" s="354">
        <f>-3825*100/200155</f>
        <v>-1.911018960305763</v>
      </c>
      <c r="CN18" s="354">
        <f>-4335*100/195339</f>
        <v>-2.219218896380139</v>
      </c>
      <c r="CO18" s="368">
        <v>-2.1</v>
      </c>
      <c r="CP18" s="411">
        <f>-4069*100/197423</f>
        <v>-2.061056715782862</v>
      </c>
    </row>
    <row r="19" spans="2:94" ht="12.75">
      <c r="B19" s="13" t="s">
        <v>13</v>
      </c>
      <c r="C19" s="8">
        <v>-7.7</v>
      </c>
      <c r="D19" s="47">
        <v>3.7</v>
      </c>
      <c r="E19" s="48">
        <v>3.7</v>
      </c>
      <c r="F19" s="72">
        <v>3.4</v>
      </c>
      <c r="G19" s="72">
        <v>3.4</v>
      </c>
      <c r="H19" s="25">
        <v>5.1</v>
      </c>
      <c r="I19" s="18">
        <v>5.1</v>
      </c>
      <c r="J19" s="54">
        <v>4.7</v>
      </c>
      <c r="K19" s="55">
        <v>4.8</v>
      </c>
      <c r="L19" s="72">
        <v>4.5</v>
      </c>
      <c r="M19" s="72">
        <v>4.5</v>
      </c>
      <c r="N19" s="25">
        <v>2.8</v>
      </c>
      <c r="O19" s="25">
        <v>2.8</v>
      </c>
      <c r="P19" s="91">
        <v>2.5</v>
      </c>
      <c r="Q19" s="92">
        <v>2.5</v>
      </c>
      <c r="R19" s="72">
        <v>1.3</v>
      </c>
      <c r="S19" s="72">
        <v>1.3</v>
      </c>
      <c r="T19" s="25">
        <v>0</v>
      </c>
      <c r="U19" s="25">
        <v>0</v>
      </c>
      <c r="V19" s="91">
        <v>-0.3</v>
      </c>
      <c r="W19" s="91">
        <v>-0.3</v>
      </c>
      <c r="X19" s="115">
        <v>-0.2</v>
      </c>
      <c r="Y19" s="116">
        <v>-0.2</v>
      </c>
      <c r="Z19" s="25">
        <v>0.7</v>
      </c>
      <c r="AA19" s="25">
        <v>0.3</v>
      </c>
      <c r="AB19" s="91">
        <v>0.2</v>
      </c>
      <c r="AC19" s="91">
        <v>0.2</v>
      </c>
      <c r="AD19" s="115">
        <v>0.1</v>
      </c>
      <c r="AE19" s="115">
        <v>0.1</v>
      </c>
      <c r="AF19" s="137">
        <v>-0.9</v>
      </c>
      <c r="AG19" s="138">
        <v>-0.9</v>
      </c>
      <c r="AH19" s="91">
        <v>1.4</v>
      </c>
      <c r="AI19" s="91">
        <v>1.6</v>
      </c>
      <c r="AJ19" s="115">
        <v>1.8</v>
      </c>
      <c r="AK19" s="115">
        <v>1.8</v>
      </c>
      <c r="AL19" s="137">
        <v>0.8</v>
      </c>
      <c r="AM19" s="137">
        <v>0.8</v>
      </c>
      <c r="AN19" s="165">
        <v>0.8</v>
      </c>
      <c r="AO19" s="173">
        <v>0.8</v>
      </c>
      <c r="AP19" s="115">
        <v>2.9</v>
      </c>
      <c r="AQ19" s="115">
        <v>3</v>
      </c>
      <c r="AR19" s="137">
        <v>2.1</v>
      </c>
      <c r="AS19" s="137">
        <v>2.4</v>
      </c>
      <c r="AT19" s="165">
        <v>2.2</v>
      </c>
      <c r="AU19" s="169">
        <v>2.4</v>
      </c>
      <c r="AV19" s="54">
        <v>2.3</v>
      </c>
      <c r="AW19" s="201">
        <v>2.3</v>
      </c>
      <c r="AX19" s="137">
        <v>2.2</v>
      </c>
      <c r="AY19" s="137">
        <v>2.5</v>
      </c>
      <c r="AZ19" s="165">
        <v>2.3</v>
      </c>
      <c r="BA19" s="165">
        <v>2.3</v>
      </c>
      <c r="BB19" s="54">
        <v>2.5</v>
      </c>
      <c r="BC19" s="54">
        <v>2.5</v>
      </c>
      <c r="BD19" s="237">
        <v>2.5</v>
      </c>
      <c r="BE19" s="221">
        <v>2.3</v>
      </c>
      <c r="BF19" s="54">
        <v>2.5</v>
      </c>
      <c r="BG19" s="54">
        <v>2.5</v>
      </c>
      <c r="BH19" s="237">
        <v>2.5</v>
      </c>
      <c r="BI19" s="77">
        <v>2.2</v>
      </c>
      <c r="BJ19" s="256">
        <v>2.2</v>
      </c>
      <c r="BK19" s="256">
        <v>2.2</v>
      </c>
      <c r="BL19" s="270">
        <v>2.2</v>
      </c>
      <c r="BM19" s="419">
        <v>2.2</v>
      </c>
      <c r="BN19" s="77">
        <v>-0.5</v>
      </c>
      <c r="BO19" s="77">
        <v>-0.9</v>
      </c>
      <c r="BP19" s="256">
        <v>-0.7</v>
      </c>
      <c r="BQ19" s="256">
        <v>-0.7</v>
      </c>
      <c r="BR19" s="285">
        <v>-0.7</v>
      </c>
      <c r="BS19" s="285">
        <v>-0.7</v>
      </c>
      <c r="BT19" s="303">
        <v>-0.7</v>
      </c>
      <c r="BU19" s="362">
        <v>-0.7</v>
      </c>
      <c r="BV19" s="256">
        <v>0</v>
      </c>
      <c r="BW19" s="256">
        <v>0.2</v>
      </c>
      <c r="BX19" s="285">
        <v>0.3</v>
      </c>
      <c r="BY19" s="285">
        <v>0.3</v>
      </c>
      <c r="BZ19" s="354">
        <v>0.3</v>
      </c>
      <c r="CA19" s="354">
        <v>0.3</v>
      </c>
      <c r="CB19" s="368">
        <v>0.3</v>
      </c>
      <c r="CC19" s="256">
        <v>0.6</v>
      </c>
      <c r="CD19" s="256">
        <v>0.4</v>
      </c>
      <c r="CE19" s="285">
        <v>0.3</v>
      </c>
      <c r="CF19" s="285">
        <v>0.4</v>
      </c>
      <c r="CG19" s="354">
        <v>0.2</v>
      </c>
      <c r="CH19" s="354">
        <v>0.2</v>
      </c>
      <c r="CI19" s="368">
        <v>0.2</v>
      </c>
      <c r="CJ19" s="354">
        <v>-0.5</v>
      </c>
      <c r="CK19" s="354">
        <v>-0.2</v>
      </c>
      <c r="CL19" s="368">
        <v>-0.6</v>
      </c>
      <c r="CM19" s="354">
        <f>-50574*100/3638695</f>
        <v>-1.3898939042706244</v>
      </c>
      <c r="CN19" s="354">
        <f>-33681*100/3625886</f>
        <v>-0.9289039975332926</v>
      </c>
      <c r="CO19" s="368">
        <v>-1.1</v>
      </c>
      <c r="CP19" s="411">
        <f>-51762*100/3783478</f>
        <v>-1.3681062768172565</v>
      </c>
    </row>
    <row r="20" spans="2:94" ht="13.5" thickBot="1">
      <c r="B20" s="16" t="s">
        <v>60</v>
      </c>
      <c r="C20" s="3">
        <v>-5.8</v>
      </c>
      <c r="D20" s="68">
        <v>4.1</v>
      </c>
      <c r="E20" s="49">
        <v>4</v>
      </c>
      <c r="F20" s="73">
        <v>3.9</v>
      </c>
      <c r="G20" s="73">
        <v>3.9</v>
      </c>
      <c r="H20" s="34">
        <v>3.8</v>
      </c>
      <c r="I20" s="19">
        <v>3.8</v>
      </c>
      <c r="J20" s="56">
        <v>0.9</v>
      </c>
      <c r="K20" s="57">
        <v>0.7</v>
      </c>
      <c r="L20" s="73">
        <v>0.8</v>
      </c>
      <c r="M20" s="73">
        <v>0.7</v>
      </c>
      <c r="N20" s="34">
        <v>0.7</v>
      </c>
      <c r="O20" s="34">
        <v>0.7</v>
      </c>
      <c r="P20" s="93">
        <v>0.7</v>
      </c>
      <c r="Q20" s="94">
        <v>0.7</v>
      </c>
      <c r="R20" s="73">
        <v>-1.3</v>
      </c>
      <c r="S20" s="73">
        <v>-1.5</v>
      </c>
      <c r="T20" s="34">
        <v>-1.6</v>
      </c>
      <c r="U20" s="34">
        <v>-1.7</v>
      </c>
      <c r="V20" s="93">
        <v>-1.7</v>
      </c>
      <c r="W20" s="93">
        <v>-1.6</v>
      </c>
      <c r="X20" s="117">
        <v>-1.6</v>
      </c>
      <c r="Y20" s="118">
        <v>-1.7</v>
      </c>
      <c r="Z20" s="34">
        <v>-3.2</v>
      </c>
      <c r="AA20" s="34">
        <v>-3.3</v>
      </c>
      <c r="AB20" s="93">
        <v>-3.4</v>
      </c>
      <c r="AC20" s="93">
        <v>-3.3</v>
      </c>
      <c r="AD20" s="117">
        <v>-3.3</v>
      </c>
      <c r="AE20" s="117">
        <v>-3.3</v>
      </c>
      <c r="AF20" s="139">
        <v>-3.2</v>
      </c>
      <c r="AG20" s="140">
        <v>-3.3</v>
      </c>
      <c r="AH20" s="93">
        <v>-3.2</v>
      </c>
      <c r="AI20" s="93">
        <v>-3.1</v>
      </c>
      <c r="AJ20" s="117">
        <v>-3.3</v>
      </c>
      <c r="AK20" s="117">
        <v>-3.2</v>
      </c>
      <c r="AL20" s="139">
        <v>-3.1</v>
      </c>
      <c r="AM20" s="139">
        <v>-3.4</v>
      </c>
      <c r="AN20" s="166">
        <v>-3.4</v>
      </c>
      <c r="AO20" s="175">
        <v>-3.4</v>
      </c>
      <c r="AP20" s="117">
        <v>-3.6</v>
      </c>
      <c r="AQ20" s="117">
        <v>-3.3</v>
      </c>
      <c r="AR20" s="139">
        <v>-3.1</v>
      </c>
      <c r="AS20" s="149">
        <v>-3.3</v>
      </c>
      <c r="AT20" s="166">
        <v>-3.4</v>
      </c>
      <c r="AU20" s="166">
        <v>-3.4</v>
      </c>
      <c r="AV20" s="216">
        <v>-3.4</v>
      </c>
      <c r="AW20" s="203">
        <v>-3.4</v>
      </c>
      <c r="AX20" s="139">
        <v>-2.8</v>
      </c>
      <c r="AY20" s="139">
        <v>-2.7</v>
      </c>
      <c r="AZ20" s="166">
        <v>-2.6</v>
      </c>
      <c r="BA20" s="171">
        <v>-2.7</v>
      </c>
      <c r="BB20" s="216">
        <v>-2.7</v>
      </c>
      <c r="BC20" s="216">
        <v>-2.7</v>
      </c>
      <c r="BD20" s="238">
        <v>-2.7</v>
      </c>
      <c r="BE20" s="223">
        <v>-2.7</v>
      </c>
      <c r="BF20" s="216">
        <v>-5.5</v>
      </c>
      <c r="BG20" s="216">
        <v>-5</v>
      </c>
      <c r="BH20" s="238">
        <v>-4.9</v>
      </c>
      <c r="BI20" s="243">
        <v>-5</v>
      </c>
      <c r="BJ20" s="259">
        <v>-5</v>
      </c>
      <c r="BK20" s="259">
        <v>-5</v>
      </c>
      <c r="BL20" s="272">
        <v>-5</v>
      </c>
      <c r="BM20" s="421">
        <v>-5.1</v>
      </c>
      <c r="BN20" s="243">
        <v>-11.5</v>
      </c>
      <c r="BO20" s="243">
        <v>-11.4</v>
      </c>
      <c r="BP20" s="259">
        <v>-11.4</v>
      </c>
      <c r="BQ20" s="259">
        <v>-11.5</v>
      </c>
      <c r="BR20" s="287">
        <v>-11.5</v>
      </c>
      <c r="BS20" s="287">
        <v>-11.5</v>
      </c>
      <c r="BT20" s="306">
        <v>-11.5</v>
      </c>
      <c r="BU20" s="363">
        <v>-11.4</v>
      </c>
      <c r="BV20" s="258">
        <v>-10.4</v>
      </c>
      <c r="BW20" s="258">
        <v>-10.3</v>
      </c>
      <c r="BX20" s="287">
        <v>-10.2</v>
      </c>
      <c r="BY20" s="287">
        <v>-10.2</v>
      </c>
      <c r="BZ20" s="356">
        <v>-10.2</v>
      </c>
      <c r="CA20" s="356">
        <v>-10.1</v>
      </c>
      <c r="CB20" s="370">
        <v>-10</v>
      </c>
      <c r="CC20" s="258">
        <v>-10.1</v>
      </c>
      <c r="CD20" s="258">
        <v>-7.9</v>
      </c>
      <c r="CE20" s="287">
        <v>-8.3</v>
      </c>
      <c r="CF20" s="287">
        <v>-7.8</v>
      </c>
      <c r="CG20" s="356">
        <v>-7.8</v>
      </c>
      <c r="CH20" s="356">
        <v>-7.7</v>
      </c>
      <c r="CI20" s="370">
        <v>-7.6</v>
      </c>
      <c r="CJ20" s="356">
        <v>-6.3</v>
      </c>
      <c r="CK20" s="356">
        <v>-6.1</v>
      </c>
      <c r="CL20" s="370">
        <v>-6.1</v>
      </c>
      <c r="CM20" s="357" t="s">
        <v>59</v>
      </c>
      <c r="CN20" s="357">
        <f>-86510*100/1545755</f>
        <v>-5.596617834003448</v>
      </c>
      <c r="CO20" s="367">
        <v>-5.8</v>
      </c>
      <c r="CP20" s="408" t="s">
        <v>59</v>
      </c>
    </row>
    <row r="21" spans="2:94" s="1" customFormat="1" ht="14.25" thickBot="1" thickTop="1">
      <c r="B21" s="40" t="s">
        <v>14</v>
      </c>
      <c r="C21" s="41">
        <v>-5.2</v>
      </c>
      <c r="D21" s="70">
        <v>1.1</v>
      </c>
      <c r="E21" s="51">
        <v>1</v>
      </c>
      <c r="F21" s="75">
        <v>0.9</v>
      </c>
      <c r="G21" s="75">
        <v>1</v>
      </c>
      <c r="H21" s="33">
        <v>1</v>
      </c>
      <c r="I21" s="39">
        <v>1</v>
      </c>
      <c r="J21" s="59">
        <v>-0.6</v>
      </c>
      <c r="K21" s="59">
        <v>-0.8</v>
      </c>
      <c r="L21" s="75">
        <v>-0.9</v>
      </c>
      <c r="M21" s="75">
        <v>-0.9</v>
      </c>
      <c r="N21" s="33">
        <v>-1</v>
      </c>
      <c r="O21" s="33">
        <v>-1.1</v>
      </c>
      <c r="P21" s="97">
        <v>-1.1</v>
      </c>
      <c r="Q21" s="98"/>
      <c r="R21" s="75">
        <v>-1.9</v>
      </c>
      <c r="S21" s="75">
        <v>-1.9</v>
      </c>
      <c r="T21" s="33">
        <v>-2</v>
      </c>
      <c r="U21" s="33">
        <v>-2.1</v>
      </c>
      <c r="V21" s="97">
        <v>-2.2</v>
      </c>
      <c r="W21" s="97"/>
      <c r="X21" s="121"/>
      <c r="Y21" s="122"/>
      <c r="Z21" s="33">
        <v>-2.6</v>
      </c>
      <c r="AA21" s="33">
        <v>-2.7</v>
      </c>
      <c r="AB21" s="97">
        <v>-2.8</v>
      </c>
      <c r="AC21" s="97"/>
      <c r="AD21" s="121"/>
      <c r="AE21" s="121"/>
      <c r="AF21" s="143"/>
      <c r="AG21" s="144"/>
      <c r="AH21" s="97">
        <v>-2.6</v>
      </c>
      <c r="AI21" s="97"/>
      <c r="AJ21" s="121"/>
      <c r="AK21" s="121"/>
      <c r="AL21" s="143"/>
      <c r="AM21" s="143"/>
      <c r="AN21" s="168"/>
      <c r="AO21" s="186"/>
      <c r="AP21" s="121"/>
      <c r="AQ21" s="121"/>
      <c r="AR21" s="143"/>
      <c r="AS21" s="143"/>
      <c r="AT21" s="164"/>
      <c r="AU21" s="164"/>
      <c r="AV21" s="60"/>
      <c r="AW21" s="204"/>
      <c r="AX21" s="141"/>
      <c r="AY21" s="148"/>
      <c r="AZ21" s="164"/>
      <c r="BA21" s="164"/>
      <c r="BB21" s="60"/>
      <c r="BC21" s="60"/>
      <c r="BD21" s="60"/>
      <c r="BE21" s="224"/>
      <c r="BF21" s="60"/>
      <c r="BG21" s="60"/>
      <c r="BH21" s="60"/>
      <c r="BI21" s="246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91"/>
      <c r="BU21" s="291"/>
      <c r="BV21" s="261"/>
      <c r="BW21" s="261"/>
      <c r="BX21" s="261"/>
      <c r="BY21" s="261"/>
      <c r="BZ21" s="291"/>
      <c r="CA21" s="291"/>
      <c r="CB21" s="402"/>
      <c r="CC21" s="261"/>
      <c r="CD21" s="261"/>
      <c r="CE21" s="261"/>
      <c r="CF21" s="261"/>
      <c r="CG21" s="290"/>
      <c r="CH21" s="290"/>
      <c r="CI21" s="367"/>
      <c r="CJ21" s="290"/>
      <c r="CK21" s="290"/>
      <c r="CL21" s="361"/>
      <c r="CO21" s="406"/>
      <c r="CP21" s="409"/>
    </row>
    <row r="22" spans="2:94" ht="26.25" customHeight="1" thickBot="1">
      <c r="B22" s="9" t="s">
        <v>17</v>
      </c>
      <c r="C22" s="9"/>
      <c r="D22" s="29" t="s">
        <v>30</v>
      </c>
      <c r="E22" s="29" t="s">
        <v>15</v>
      </c>
      <c r="F22" s="30" t="s">
        <v>31</v>
      </c>
      <c r="G22" s="30" t="s">
        <v>16</v>
      </c>
      <c r="H22" s="85" t="s">
        <v>38</v>
      </c>
      <c r="I22" s="9" t="s">
        <v>39</v>
      </c>
      <c r="J22" s="29" t="s">
        <v>30</v>
      </c>
      <c r="K22" s="29" t="s">
        <v>15</v>
      </c>
      <c r="L22" s="30" t="s">
        <v>31</v>
      </c>
      <c r="M22" s="30" t="s">
        <v>16</v>
      </c>
      <c r="N22" s="85" t="s">
        <v>38</v>
      </c>
      <c r="O22" s="9" t="s">
        <v>39</v>
      </c>
      <c r="P22" s="36" t="s">
        <v>40</v>
      </c>
      <c r="Q22" s="36" t="s">
        <v>41</v>
      </c>
      <c r="R22" s="82" t="s">
        <v>31</v>
      </c>
      <c r="S22" s="30" t="s">
        <v>16</v>
      </c>
      <c r="T22" s="85" t="s">
        <v>38</v>
      </c>
      <c r="U22" s="9" t="s">
        <v>39</v>
      </c>
      <c r="V22" s="36" t="s">
        <v>40</v>
      </c>
      <c r="W22" s="36" t="s">
        <v>41</v>
      </c>
      <c r="X22" s="112" t="s">
        <v>44</v>
      </c>
      <c r="Y22" s="112" t="s">
        <v>34</v>
      </c>
      <c r="Z22" s="85" t="s">
        <v>38</v>
      </c>
      <c r="AA22" s="9" t="s">
        <v>39</v>
      </c>
      <c r="AB22" s="36" t="s">
        <v>40</v>
      </c>
      <c r="AC22" s="36" t="s">
        <v>41</v>
      </c>
      <c r="AD22" s="112" t="s">
        <v>44</v>
      </c>
      <c r="AE22" s="112" t="s">
        <v>34</v>
      </c>
      <c r="AF22" s="42" t="s">
        <v>45</v>
      </c>
      <c r="AG22" s="42" t="s">
        <v>37</v>
      </c>
      <c r="AH22" s="36" t="s">
        <v>40</v>
      </c>
      <c r="AI22" s="36" t="s">
        <v>41</v>
      </c>
      <c r="AJ22" s="112" t="s">
        <v>44</v>
      </c>
      <c r="AK22" s="112" t="s">
        <v>34</v>
      </c>
      <c r="AL22" s="42" t="s">
        <v>45</v>
      </c>
      <c r="AM22" s="42" t="s">
        <v>37</v>
      </c>
      <c r="AN22" s="163" t="s">
        <v>46</v>
      </c>
      <c r="AO22" s="163" t="s">
        <v>43</v>
      </c>
      <c r="AP22" s="112" t="s">
        <v>44</v>
      </c>
      <c r="AQ22" s="127" t="s">
        <v>34</v>
      </c>
      <c r="AR22" s="42" t="s">
        <v>45</v>
      </c>
      <c r="AS22" s="42" t="s">
        <v>37</v>
      </c>
      <c r="AT22" s="163" t="s">
        <v>46</v>
      </c>
      <c r="AU22" s="163" t="s">
        <v>43</v>
      </c>
      <c r="AV22" s="217" t="s">
        <v>47</v>
      </c>
      <c r="AW22" s="200" t="s">
        <v>48</v>
      </c>
      <c r="AX22" s="42" t="s">
        <v>45</v>
      </c>
      <c r="AY22" s="42" t="s">
        <v>37</v>
      </c>
      <c r="AZ22" s="163" t="s">
        <v>46</v>
      </c>
      <c r="BA22" s="163" t="s">
        <v>43</v>
      </c>
      <c r="BB22" s="200" t="s">
        <v>47</v>
      </c>
      <c r="BC22" s="200" t="s">
        <v>48</v>
      </c>
      <c r="BD22" s="219" t="s">
        <v>49</v>
      </c>
      <c r="BE22" s="219" t="s">
        <v>50</v>
      </c>
      <c r="BF22" s="200" t="s">
        <v>47</v>
      </c>
      <c r="BG22" s="200" t="s">
        <v>48</v>
      </c>
      <c r="BH22" s="219" t="s">
        <v>49</v>
      </c>
      <c r="BI22" s="219" t="s">
        <v>50</v>
      </c>
      <c r="BJ22" s="247" t="s">
        <v>54</v>
      </c>
      <c r="BK22" s="247" t="s">
        <v>56</v>
      </c>
      <c r="BL22" s="268" t="s">
        <v>57</v>
      </c>
      <c r="BM22" s="417" t="s">
        <v>65</v>
      </c>
      <c r="BN22" s="414" t="s">
        <v>49</v>
      </c>
      <c r="BO22" s="219" t="s">
        <v>50</v>
      </c>
      <c r="BP22" s="262" t="s">
        <v>54</v>
      </c>
      <c r="BQ22" s="247" t="s">
        <v>56</v>
      </c>
      <c r="BR22" s="268" t="s">
        <v>57</v>
      </c>
      <c r="BS22" s="268" t="s">
        <v>57</v>
      </c>
      <c r="BT22" s="289" t="s">
        <v>67</v>
      </c>
      <c r="BU22" s="415" t="s">
        <v>69</v>
      </c>
      <c r="BV22" s="377" t="s">
        <v>54</v>
      </c>
      <c r="BW22" s="262" t="s">
        <v>56</v>
      </c>
      <c r="BX22" s="375" t="s">
        <v>57</v>
      </c>
      <c r="BY22" s="375" t="s">
        <v>65</v>
      </c>
      <c r="BZ22" s="301" t="s">
        <v>67</v>
      </c>
      <c r="CA22" s="301" t="s">
        <v>69</v>
      </c>
      <c r="CB22" s="407" t="s">
        <v>72</v>
      </c>
      <c r="CC22" s="359" t="s">
        <v>54</v>
      </c>
      <c r="CD22" s="262" t="s">
        <v>56</v>
      </c>
      <c r="CE22" s="375" t="s">
        <v>57</v>
      </c>
      <c r="CF22" s="375" t="s">
        <v>65</v>
      </c>
      <c r="CG22" s="301" t="s">
        <v>67</v>
      </c>
      <c r="CH22" s="301" t="s">
        <v>69</v>
      </c>
      <c r="CI22" s="407" t="s">
        <v>72</v>
      </c>
      <c r="CJ22" s="403" t="s">
        <v>67</v>
      </c>
      <c r="CK22" s="301" t="s">
        <v>69</v>
      </c>
      <c r="CL22" s="407" t="s">
        <v>72</v>
      </c>
      <c r="CM22" s="403" t="s">
        <v>67</v>
      </c>
      <c r="CN22" s="301" t="s">
        <v>69</v>
      </c>
      <c r="CO22" s="407" t="s">
        <v>72</v>
      </c>
      <c r="CP22" s="405" t="s">
        <v>72</v>
      </c>
    </row>
    <row r="23" spans="2:94" ht="13.5" thickBot="1">
      <c r="B23" s="31"/>
      <c r="C23" s="32">
        <v>1995</v>
      </c>
      <c r="D23" s="432">
        <v>2000</v>
      </c>
      <c r="E23" s="430"/>
      <c r="F23" s="430"/>
      <c r="G23" s="430"/>
      <c r="H23" s="430"/>
      <c r="I23" s="431"/>
      <c r="J23" s="432">
        <v>2001</v>
      </c>
      <c r="K23" s="430"/>
      <c r="L23" s="430"/>
      <c r="M23" s="430"/>
      <c r="N23" s="430"/>
      <c r="O23" s="430"/>
      <c r="P23" s="430"/>
      <c r="Q23" s="431"/>
      <c r="R23" s="430">
        <v>2002</v>
      </c>
      <c r="S23" s="430"/>
      <c r="T23" s="430"/>
      <c r="U23" s="430"/>
      <c r="V23" s="430"/>
      <c r="W23" s="430"/>
      <c r="X23" s="430"/>
      <c r="Y23" s="431"/>
      <c r="Z23" s="430">
        <v>2003</v>
      </c>
      <c r="AA23" s="430"/>
      <c r="AB23" s="430"/>
      <c r="AC23" s="430"/>
      <c r="AD23" s="430"/>
      <c r="AE23" s="430"/>
      <c r="AF23" s="430"/>
      <c r="AG23" s="431"/>
      <c r="AH23" s="432">
        <v>2004</v>
      </c>
      <c r="AI23" s="430"/>
      <c r="AJ23" s="430"/>
      <c r="AK23" s="430"/>
      <c r="AL23" s="430"/>
      <c r="AM23" s="430"/>
      <c r="AN23" s="430"/>
      <c r="AO23" s="431"/>
      <c r="AP23" s="432">
        <v>2005</v>
      </c>
      <c r="AQ23" s="430"/>
      <c r="AR23" s="430"/>
      <c r="AS23" s="430"/>
      <c r="AT23" s="430"/>
      <c r="AU23" s="430"/>
      <c r="AV23" s="430"/>
      <c r="AW23" s="431"/>
      <c r="AX23" s="432">
        <v>2006</v>
      </c>
      <c r="AY23" s="430"/>
      <c r="AZ23" s="430"/>
      <c r="BA23" s="430"/>
      <c r="BB23" s="430"/>
      <c r="BC23" s="430"/>
      <c r="BD23" s="430"/>
      <c r="BE23" s="431"/>
      <c r="BF23" s="433">
        <v>2008</v>
      </c>
      <c r="BG23" s="434"/>
      <c r="BH23" s="434"/>
      <c r="BI23" s="434"/>
      <c r="BJ23" s="434"/>
      <c r="BK23" s="434"/>
      <c r="BL23" s="434"/>
      <c r="BM23" s="435"/>
      <c r="BN23" s="433">
        <v>2009</v>
      </c>
      <c r="BO23" s="434"/>
      <c r="BP23" s="434"/>
      <c r="BQ23" s="434"/>
      <c r="BR23" s="434"/>
      <c r="BS23" s="434"/>
      <c r="BT23" s="434"/>
      <c r="BU23" s="435"/>
      <c r="BV23" s="433">
        <v>2010</v>
      </c>
      <c r="BW23" s="434"/>
      <c r="BX23" s="434"/>
      <c r="BY23" s="434"/>
      <c r="BZ23" s="434"/>
      <c r="CA23" s="434"/>
      <c r="CB23" s="437"/>
      <c r="CC23" s="436">
        <v>2011</v>
      </c>
      <c r="CD23" s="434"/>
      <c r="CE23" s="434"/>
      <c r="CF23" s="434"/>
      <c r="CG23" s="434"/>
      <c r="CH23" s="434"/>
      <c r="CI23" s="437"/>
      <c r="CJ23" s="436">
        <v>2012</v>
      </c>
      <c r="CK23" s="434"/>
      <c r="CL23" s="437"/>
      <c r="CM23" s="436">
        <v>2013</v>
      </c>
      <c r="CN23" s="434"/>
      <c r="CO23" s="437"/>
      <c r="CP23" s="390">
        <v>2014</v>
      </c>
    </row>
    <row r="24" spans="2:94" ht="12.75">
      <c r="B24" s="7" t="s">
        <v>51</v>
      </c>
      <c r="C24" s="2"/>
      <c r="D24" s="46">
        <v>-3.1</v>
      </c>
      <c r="E24" s="46"/>
      <c r="F24" s="71">
        <v>-3.1</v>
      </c>
      <c r="G24" s="76"/>
      <c r="H24" s="24">
        <v>-2.4</v>
      </c>
      <c r="I24" s="21">
        <v>-2.4</v>
      </c>
      <c r="J24" s="46">
        <v>-3</v>
      </c>
      <c r="K24" s="46"/>
      <c r="L24" s="71">
        <v>-3</v>
      </c>
      <c r="M24" s="76"/>
      <c r="N24" s="24">
        <v>-2.4</v>
      </c>
      <c r="O24" s="24">
        <v>-2.4</v>
      </c>
      <c r="P24" s="89">
        <v>-2.3</v>
      </c>
      <c r="Q24" s="99">
        <v>-2.3</v>
      </c>
      <c r="R24" s="71">
        <v>-3.5</v>
      </c>
      <c r="S24" s="76"/>
      <c r="T24" s="24">
        <v>-4.6</v>
      </c>
      <c r="U24" s="24">
        <v>-4.6</v>
      </c>
      <c r="V24" s="89">
        <v>-4.5</v>
      </c>
      <c r="W24" s="102">
        <v>-4.5</v>
      </c>
      <c r="X24" s="113">
        <v>-4.5</v>
      </c>
      <c r="Y24" s="114">
        <v>-4.4</v>
      </c>
      <c r="Z24" s="24">
        <v>-6.3</v>
      </c>
      <c r="AA24" s="24">
        <v>-6.4</v>
      </c>
      <c r="AB24" s="89">
        <v>-6.3</v>
      </c>
      <c r="AC24" s="102">
        <v>-6.3</v>
      </c>
      <c r="AD24" s="113">
        <v>-6.3</v>
      </c>
      <c r="AE24" s="113">
        <v>-6.3</v>
      </c>
      <c r="AF24" s="135">
        <v>-6.3</v>
      </c>
      <c r="AG24" s="136">
        <v>-6.5</v>
      </c>
      <c r="AH24" s="89">
        <v>-4.2</v>
      </c>
      <c r="AI24" s="102">
        <v>-4.1</v>
      </c>
      <c r="AJ24" s="113">
        <v>-4.1</v>
      </c>
      <c r="AK24" s="113">
        <v>-4.1</v>
      </c>
      <c r="AL24" s="135">
        <v>-4.1</v>
      </c>
      <c r="AM24" s="135">
        <v>-4.1</v>
      </c>
      <c r="AN24" s="169">
        <v>-4.1</v>
      </c>
      <c r="AO24" s="187">
        <v>-4.1</v>
      </c>
      <c r="AP24" s="113">
        <v>-2.4</v>
      </c>
      <c r="AQ24" s="113">
        <v>-2.3</v>
      </c>
      <c r="AR24" s="135">
        <v>-2.3</v>
      </c>
      <c r="AS24" s="135">
        <v>-2.4</v>
      </c>
      <c r="AT24" s="164">
        <v>-2.4</v>
      </c>
      <c r="AU24" s="164">
        <v>-2.4</v>
      </c>
      <c r="AV24" s="60">
        <v>-2.4</v>
      </c>
      <c r="AW24" s="202">
        <v>-2.4</v>
      </c>
      <c r="AX24" s="135">
        <v>-1.5</v>
      </c>
      <c r="AY24" s="148">
        <v>-1.2</v>
      </c>
      <c r="AZ24" s="164">
        <v>-1.2</v>
      </c>
      <c r="BA24" s="164">
        <v>-1.2</v>
      </c>
      <c r="BB24" s="60">
        <v>-1.2</v>
      </c>
      <c r="BC24" s="60">
        <v>-1.2</v>
      </c>
      <c r="BD24" s="236">
        <v>-1.2</v>
      </c>
      <c r="BE24" s="220">
        <v>-1.2</v>
      </c>
      <c r="BF24" s="60">
        <v>0.9</v>
      </c>
      <c r="BG24" s="60">
        <v>0.9</v>
      </c>
      <c r="BH24" s="236">
        <v>0.9</v>
      </c>
      <c r="BI24" s="224">
        <v>0.9</v>
      </c>
      <c r="BJ24" s="255">
        <v>0.9</v>
      </c>
      <c r="BK24" s="255">
        <v>0.9</v>
      </c>
      <c r="BL24" s="269">
        <v>0.9</v>
      </c>
      <c r="BM24" s="418">
        <v>0.9</v>
      </c>
      <c r="BN24" s="224">
        <v>-6.1</v>
      </c>
      <c r="BO24" s="224">
        <v>-6</v>
      </c>
      <c r="BP24" s="255">
        <v>-6</v>
      </c>
      <c r="BQ24" s="255">
        <v>-6.1</v>
      </c>
      <c r="BR24" s="292">
        <v>-6.1</v>
      </c>
      <c r="BS24" s="292">
        <v>-6.1</v>
      </c>
      <c r="BT24" s="307">
        <v>-6.1</v>
      </c>
      <c r="BU24" s="416">
        <v>-6.1</v>
      </c>
      <c r="BV24" s="255">
        <v>-5.3</v>
      </c>
      <c r="BW24" s="255">
        <v>-5.3</v>
      </c>
      <c r="BX24" s="292">
        <v>-5.3</v>
      </c>
      <c r="BY24" s="292">
        <v>-5.3</v>
      </c>
      <c r="BZ24" s="365">
        <v>-5.3</v>
      </c>
      <c r="CA24" s="365">
        <v>-5.3</v>
      </c>
      <c r="CB24" s="367">
        <v>-5.3</v>
      </c>
      <c r="CC24" s="255">
        <v>-4.2</v>
      </c>
      <c r="CD24" s="255">
        <v>-6.5</v>
      </c>
      <c r="CE24" s="292">
        <v>-6.3</v>
      </c>
      <c r="CF24" s="292">
        <v>-6.3</v>
      </c>
      <c r="CG24" s="380">
        <v>-6.3</v>
      </c>
      <c r="CH24" s="380">
        <v>-6.3</v>
      </c>
      <c r="CI24" s="393">
        <v>-6.3</v>
      </c>
      <c r="CJ24" s="366">
        <v>-6.3</v>
      </c>
      <c r="CK24" s="380">
        <v>-6.4</v>
      </c>
      <c r="CL24" s="393">
        <v>-6.4</v>
      </c>
      <c r="CM24" s="366">
        <f>-985*100/16400</f>
        <v>-6.0060975609756095</v>
      </c>
      <c r="CN24" s="366">
        <f>-1200*100/16400</f>
        <v>-7.317073170731708</v>
      </c>
      <c r="CO24" s="393">
        <v>-5.4</v>
      </c>
      <c r="CP24" s="410">
        <f>-936*100/15873</f>
        <v>-5.896805896805897</v>
      </c>
    </row>
    <row r="25" spans="2:94" ht="12.75">
      <c r="B25" s="13" t="s">
        <v>52</v>
      </c>
      <c r="C25" s="8"/>
      <c r="D25" s="48">
        <v>-3.3</v>
      </c>
      <c r="E25" s="48"/>
      <c r="F25" s="72">
        <v>-4</v>
      </c>
      <c r="G25" s="77"/>
      <c r="H25" s="25">
        <v>-4.5</v>
      </c>
      <c r="I25" s="18">
        <v>-3.7</v>
      </c>
      <c r="J25" s="48">
        <v>-5.5</v>
      </c>
      <c r="K25" s="48"/>
      <c r="L25" s="72">
        <v>-5.5</v>
      </c>
      <c r="M25" s="77"/>
      <c r="N25" s="25">
        <v>-6.4</v>
      </c>
      <c r="O25" s="25">
        <v>-5.9</v>
      </c>
      <c r="P25" s="91">
        <v>-5.9</v>
      </c>
      <c r="Q25" s="92">
        <v>-5.9</v>
      </c>
      <c r="R25" s="72">
        <v>-3.9</v>
      </c>
      <c r="S25" s="77"/>
      <c r="T25" s="25">
        <v>-6.4</v>
      </c>
      <c r="U25" s="25">
        <v>-6.8</v>
      </c>
      <c r="V25" s="91">
        <v>-6.8</v>
      </c>
      <c r="W25" s="91">
        <v>-6.8</v>
      </c>
      <c r="X25" s="115">
        <v>-6.8</v>
      </c>
      <c r="Y25" s="116">
        <v>-6.8</v>
      </c>
      <c r="Z25" s="25">
        <v>-12.9</v>
      </c>
      <c r="AA25" s="25">
        <v>-12.6</v>
      </c>
      <c r="AB25" s="91">
        <v>-11.7</v>
      </c>
      <c r="AC25" s="91">
        <v>-12.5</v>
      </c>
      <c r="AD25" s="115">
        <v>-6.6</v>
      </c>
      <c r="AE25" s="115">
        <v>-6.6</v>
      </c>
      <c r="AF25" s="137">
        <v>-6.6</v>
      </c>
      <c r="AG25" s="138">
        <v>-6.6</v>
      </c>
      <c r="AH25" s="102">
        <v>-3</v>
      </c>
      <c r="AI25" s="91">
        <v>-3</v>
      </c>
      <c r="AJ25" s="115">
        <v>-2.9</v>
      </c>
      <c r="AK25" s="115">
        <v>-2.9</v>
      </c>
      <c r="AL25" s="137">
        <v>-2.9</v>
      </c>
      <c r="AM25" s="137">
        <v>-3</v>
      </c>
      <c r="AN25" s="165">
        <v>-3</v>
      </c>
      <c r="AO25" s="173">
        <v>-3</v>
      </c>
      <c r="AP25" s="115">
        <v>-2.6</v>
      </c>
      <c r="AQ25" s="115">
        <v>-3.6</v>
      </c>
      <c r="AR25" s="137">
        <v>-3.5</v>
      </c>
      <c r="AS25" s="137">
        <v>-3.5</v>
      </c>
      <c r="AT25" s="165">
        <v>-3.6</v>
      </c>
      <c r="AU25" s="165">
        <v>-3.6</v>
      </c>
      <c r="AV25" s="54">
        <v>-3.6</v>
      </c>
      <c r="AW25" s="201">
        <v>-3.6</v>
      </c>
      <c r="AX25" s="137">
        <v>-2.9</v>
      </c>
      <c r="AY25" s="137">
        <v>-2.9</v>
      </c>
      <c r="AZ25" s="165">
        <v>-2.7</v>
      </c>
      <c r="BA25" s="165">
        <v>-2.7</v>
      </c>
      <c r="BB25" s="54">
        <v>-2.6</v>
      </c>
      <c r="BC25" s="54">
        <v>-2.6</v>
      </c>
      <c r="BD25" s="237">
        <v>-2.6</v>
      </c>
      <c r="BE25" s="221">
        <v>-2.6</v>
      </c>
      <c r="BF25" s="54">
        <v>-1.5</v>
      </c>
      <c r="BG25" s="54">
        <v>-2.1</v>
      </c>
      <c r="BH25" s="237">
        <v>-2.7</v>
      </c>
      <c r="BI25" s="77">
        <v>-2.7</v>
      </c>
      <c r="BJ25" s="256">
        <v>-2.7</v>
      </c>
      <c r="BK25" s="256">
        <v>-2.2</v>
      </c>
      <c r="BL25" s="270">
        <v>-2.2</v>
      </c>
      <c r="BM25" s="419">
        <v>-2.2</v>
      </c>
      <c r="BN25" s="77">
        <v>-5.9</v>
      </c>
      <c r="BO25" s="77">
        <v>-5.8</v>
      </c>
      <c r="BP25" s="256">
        <v>-5.9</v>
      </c>
      <c r="BQ25" s="256">
        <v>-5.8</v>
      </c>
      <c r="BR25" s="285">
        <v>-5.8</v>
      </c>
      <c r="BS25" s="285">
        <v>-5.8</v>
      </c>
      <c r="BT25" s="303">
        <v>-5.8</v>
      </c>
      <c r="BU25" s="362">
        <v>-5.8</v>
      </c>
      <c r="BV25" s="256">
        <v>-4.7</v>
      </c>
      <c r="BW25" s="256">
        <v>-4.8</v>
      </c>
      <c r="BX25" s="285">
        <v>-4.8</v>
      </c>
      <c r="BY25" s="285">
        <v>-4.8</v>
      </c>
      <c r="BZ25" s="354">
        <v>-4.8</v>
      </c>
      <c r="CA25" s="354">
        <v>-4.7</v>
      </c>
      <c r="CB25" s="368">
        <v>-4.7</v>
      </c>
      <c r="CC25" s="256">
        <v>-4.1</v>
      </c>
      <c r="CD25" s="256">
        <v>-3.7</v>
      </c>
      <c r="CE25" s="285">
        <v>-3.1</v>
      </c>
      <c r="CF25" s="285">
        <v>-3.3</v>
      </c>
      <c r="CG25" s="354">
        <v>-3.3</v>
      </c>
      <c r="CH25" s="354">
        <v>-3.2</v>
      </c>
      <c r="CI25" s="368">
        <v>-3.2</v>
      </c>
      <c r="CJ25" s="354">
        <v>-4.4</v>
      </c>
      <c r="CK25" s="354">
        <v>-4.4</v>
      </c>
      <c r="CL25" s="368">
        <v>-4.2</v>
      </c>
      <c r="CM25" s="354">
        <f>-109622*100/3858260</f>
        <v>-2.841228947764018</v>
      </c>
      <c r="CN25" s="354">
        <f>-111593*100/3821677</f>
        <v>-2.9200008268621342</v>
      </c>
      <c r="CO25" s="368">
        <v>-1.5</v>
      </c>
      <c r="CP25" s="411">
        <f>-73310*100/4022808</f>
        <v>-1.8223589094980421</v>
      </c>
    </row>
    <row r="26" spans="2:94" ht="12.75">
      <c r="B26" s="13" t="s">
        <v>21</v>
      </c>
      <c r="C26" s="8"/>
      <c r="D26" s="48">
        <v>-0.4</v>
      </c>
      <c r="E26" s="48"/>
      <c r="F26" s="72">
        <v>-0.4</v>
      </c>
      <c r="G26" s="77"/>
      <c r="H26" s="25">
        <v>-0.3</v>
      </c>
      <c r="I26" s="18">
        <v>-0.6</v>
      </c>
      <c r="J26" s="48">
        <v>0.2</v>
      </c>
      <c r="K26" s="48"/>
      <c r="L26" s="72">
        <v>0.2</v>
      </c>
      <c r="M26" s="77"/>
      <c r="N26" s="25">
        <v>0.3</v>
      </c>
      <c r="O26" s="25">
        <v>0.3</v>
      </c>
      <c r="P26" s="91">
        <v>0.3</v>
      </c>
      <c r="Q26" s="92">
        <v>0.3</v>
      </c>
      <c r="R26" s="72">
        <v>1.3</v>
      </c>
      <c r="S26" s="77"/>
      <c r="T26" s="25">
        <v>1.8</v>
      </c>
      <c r="U26" s="25">
        <v>1.4</v>
      </c>
      <c r="V26" s="91">
        <v>1.4</v>
      </c>
      <c r="W26" s="91">
        <v>1.5</v>
      </c>
      <c r="X26" s="115">
        <v>1</v>
      </c>
      <c r="Y26" s="116">
        <v>0.4</v>
      </c>
      <c r="Z26" s="25">
        <v>2.6</v>
      </c>
      <c r="AA26" s="25">
        <v>3.1</v>
      </c>
      <c r="AB26" s="91">
        <v>3.1</v>
      </c>
      <c r="AC26" s="91">
        <v>2.6</v>
      </c>
      <c r="AD26" s="115">
        <v>2.4</v>
      </c>
      <c r="AE26" s="115">
        <v>2</v>
      </c>
      <c r="AF26" s="137">
        <v>2</v>
      </c>
      <c r="AG26" s="138">
        <v>1.8</v>
      </c>
      <c r="AH26" s="91">
        <v>1.8</v>
      </c>
      <c r="AI26" s="91">
        <v>1.7</v>
      </c>
      <c r="AJ26" s="115">
        <v>1.5</v>
      </c>
      <c r="AK26" s="115">
        <v>2.3</v>
      </c>
      <c r="AL26" s="137">
        <v>2.3</v>
      </c>
      <c r="AM26" s="137">
        <v>1.8</v>
      </c>
      <c r="AN26" s="165">
        <v>1.6</v>
      </c>
      <c r="AO26" s="173">
        <v>1.7</v>
      </c>
      <c r="AP26" s="115">
        <v>1.6</v>
      </c>
      <c r="AQ26" s="115">
        <v>2.3</v>
      </c>
      <c r="AR26" s="137">
        <v>2.3</v>
      </c>
      <c r="AS26" s="137">
        <v>1.9</v>
      </c>
      <c r="AT26" s="164">
        <v>1.8</v>
      </c>
      <c r="AU26" s="164">
        <v>1.5</v>
      </c>
      <c r="AV26" s="60">
        <v>1.5</v>
      </c>
      <c r="AW26" s="202">
        <v>1.6</v>
      </c>
      <c r="AX26" s="137">
        <v>3.8</v>
      </c>
      <c r="AY26" s="148">
        <v>3.6</v>
      </c>
      <c r="AZ26" s="164">
        <v>3.4</v>
      </c>
      <c r="BA26" s="164">
        <v>2.9</v>
      </c>
      <c r="BB26" s="60">
        <v>2.9</v>
      </c>
      <c r="BC26" s="60">
        <v>2.3</v>
      </c>
      <c r="BD26" s="236">
        <v>2.5</v>
      </c>
      <c r="BE26" s="222">
        <v>2.4</v>
      </c>
      <c r="BF26" s="60">
        <v>-3</v>
      </c>
      <c r="BG26" s="60">
        <v>-2.7</v>
      </c>
      <c r="BH26" s="236">
        <v>-2.7</v>
      </c>
      <c r="BI26" s="224">
        <v>-2.8</v>
      </c>
      <c r="BJ26" s="255">
        <v>-2.8</v>
      </c>
      <c r="BK26" s="255">
        <v>-2.9</v>
      </c>
      <c r="BL26" s="270">
        <v>-2.9</v>
      </c>
      <c r="BM26" s="419">
        <v>-2.9</v>
      </c>
      <c r="BN26" s="224">
        <v>-1.7</v>
      </c>
      <c r="BO26" s="224">
        <v>-1.7</v>
      </c>
      <c r="BP26" s="255">
        <v>-1.7</v>
      </c>
      <c r="BQ26" s="255">
        <v>-2</v>
      </c>
      <c r="BR26" s="285">
        <v>-2</v>
      </c>
      <c r="BS26" s="285">
        <v>-2</v>
      </c>
      <c r="BT26" s="305">
        <v>-2</v>
      </c>
      <c r="BU26" s="361">
        <v>-2</v>
      </c>
      <c r="BV26" s="255">
        <v>0.1</v>
      </c>
      <c r="BW26" s="255">
        <v>0.2</v>
      </c>
      <c r="BX26" s="285">
        <v>0.2</v>
      </c>
      <c r="BY26" s="285">
        <v>0.2</v>
      </c>
      <c r="BZ26" s="290">
        <v>0.2</v>
      </c>
      <c r="CA26" s="290">
        <v>0.2</v>
      </c>
      <c r="CB26" s="367">
        <v>0.2</v>
      </c>
      <c r="CC26" s="255">
        <v>-0.5</v>
      </c>
      <c r="CD26" s="255">
        <v>0.2</v>
      </c>
      <c r="CE26" s="285">
        <v>1</v>
      </c>
      <c r="CF26" s="285">
        <v>1.1</v>
      </c>
      <c r="CG26" s="354">
        <v>1.2</v>
      </c>
      <c r="CH26" s="354">
        <v>1.1</v>
      </c>
      <c r="CI26" s="368">
        <v>1.1</v>
      </c>
      <c r="CJ26" s="354">
        <v>-0.3</v>
      </c>
      <c r="CK26" s="354">
        <v>-0.2</v>
      </c>
      <c r="CL26" s="368">
        <v>-0.2</v>
      </c>
      <c r="CM26" s="354">
        <f>-95*100/18121</f>
        <v>-0.5242536283869543</v>
      </c>
      <c r="CN26" s="354">
        <f>-45*100/18463</f>
        <v>-0.24373070465254834</v>
      </c>
      <c r="CO26" s="368">
        <v>-0.2</v>
      </c>
      <c r="CP26" s="411">
        <f>-56*100/19338</f>
        <v>-0.2895852725204261</v>
      </c>
    </row>
    <row r="27" spans="2:94" ht="12.75">
      <c r="B27" s="13" t="s">
        <v>22</v>
      </c>
      <c r="C27" s="8"/>
      <c r="D27" s="48">
        <v>-3</v>
      </c>
      <c r="E27" s="48"/>
      <c r="F27" s="72">
        <v>-3</v>
      </c>
      <c r="G27" s="77"/>
      <c r="H27" s="25">
        <v>-3</v>
      </c>
      <c r="I27" s="18">
        <v>-3</v>
      </c>
      <c r="J27" s="48">
        <v>-4.1</v>
      </c>
      <c r="K27" s="48"/>
      <c r="L27" s="72">
        <v>-4.7</v>
      </c>
      <c r="M27" s="77"/>
      <c r="N27" s="25">
        <v>-4.4</v>
      </c>
      <c r="O27" s="25">
        <v>-4.4</v>
      </c>
      <c r="P27" s="91">
        <v>-3.7</v>
      </c>
      <c r="Q27" s="92">
        <v>-3.5</v>
      </c>
      <c r="R27" s="72">
        <v>-9.2</v>
      </c>
      <c r="S27" s="77"/>
      <c r="T27" s="25">
        <v>-9.3</v>
      </c>
      <c r="U27" s="25">
        <v>-9.2</v>
      </c>
      <c r="V27" s="91">
        <v>-8.5</v>
      </c>
      <c r="W27" s="91">
        <v>-8.5</v>
      </c>
      <c r="X27" s="115">
        <v>-8.4</v>
      </c>
      <c r="Y27" s="116">
        <v>-8.2</v>
      </c>
      <c r="Z27" s="25">
        <v>-5.9</v>
      </c>
      <c r="AA27" s="25">
        <v>-6.2</v>
      </c>
      <c r="AB27" s="91">
        <v>-6.2</v>
      </c>
      <c r="AC27" s="91">
        <v>-6.5</v>
      </c>
      <c r="AD27" s="115">
        <v>-6.4</v>
      </c>
      <c r="AE27" s="115">
        <v>-6.3</v>
      </c>
      <c r="AF27" s="137">
        <v>-7.2</v>
      </c>
      <c r="AG27" s="138">
        <v>-7.2</v>
      </c>
      <c r="AH27" s="91">
        <v>-4.5</v>
      </c>
      <c r="AI27" s="91">
        <v>-5.4</v>
      </c>
      <c r="AJ27" s="115">
        <v>-5.4</v>
      </c>
      <c r="AK27" s="115">
        <v>-5.3</v>
      </c>
      <c r="AL27" s="137">
        <v>-6.5</v>
      </c>
      <c r="AM27" s="137">
        <v>-6.5</v>
      </c>
      <c r="AN27" s="165">
        <v>-6.5</v>
      </c>
      <c r="AO27" s="173">
        <v>-6.4</v>
      </c>
      <c r="AP27" s="115">
        <v>-6.1</v>
      </c>
      <c r="AQ27" s="115">
        <v>-6.5</v>
      </c>
      <c r="AR27" s="137">
        <v>-7.8</v>
      </c>
      <c r="AS27" s="137">
        <v>-7.8</v>
      </c>
      <c r="AT27" s="165">
        <v>-7.8</v>
      </c>
      <c r="AU27" s="165">
        <v>-7.8</v>
      </c>
      <c r="AV27" s="54">
        <v>-7.8</v>
      </c>
      <c r="AW27" s="201">
        <v>-7.9</v>
      </c>
      <c r="AX27" s="137">
        <v>-9.2</v>
      </c>
      <c r="AY27" s="137">
        <v>-9.2</v>
      </c>
      <c r="AZ27" s="165">
        <v>-9.2</v>
      </c>
      <c r="BA27" s="165">
        <v>-9.3</v>
      </c>
      <c r="BB27" s="54">
        <v>-9.2</v>
      </c>
      <c r="BC27" s="54">
        <v>-9.3</v>
      </c>
      <c r="BD27" s="237">
        <v>-9.3</v>
      </c>
      <c r="BE27" s="221">
        <v>-9.3</v>
      </c>
      <c r="BF27" s="54">
        <v>-3.4</v>
      </c>
      <c r="BG27" s="54">
        <v>-3.8</v>
      </c>
      <c r="BH27" s="237">
        <v>-3.8</v>
      </c>
      <c r="BI27" s="77">
        <v>-3.7</v>
      </c>
      <c r="BJ27" s="256">
        <v>-3.7</v>
      </c>
      <c r="BK27" s="256">
        <v>-3.7</v>
      </c>
      <c r="BL27" s="270">
        <v>-3.7</v>
      </c>
      <c r="BM27" s="419">
        <v>-3.7</v>
      </c>
      <c r="BN27" s="77">
        <v>-4</v>
      </c>
      <c r="BO27" s="77">
        <v>-4.4</v>
      </c>
      <c r="BP27" s="256">
        <v>-4.5</v>
      </c>
      <c r="BQ27" s="256">
        <v>-4.6</v>
      </c>
      <c r="BR27" s="285">
        <v>-4.6</v>
      </c>
      <c r="BS27" s="285">
        <v>-4.6</v>
      </c>
      <c r="BT27" s="303">
        <v>-4.6</v>
      </c>
      <c r="BU27" s="362">
        <v>-4.6</v>
      </c>
      <c r="BV27" s="256">
        <v>-4.2</v>
      </c>
      <c r="BW27" s="256">
        <v>-4.2</v>
      </c>
      <c r="BX27" s="285">
        <v>-4.2</v>
      </c>
      <c r="BY27" s="285">
        <v>-4.4</v>
      </c>
      <c r="BZ27" s="354">
        <v>-4.3</v>
      </c>
      <c r="CA27" s="354">
        <v>-4.3</v>
      </c>
      <c r="CB27" s="368">
        <v>-4.3</v>
      </c>
      <c r="CC27" s="256">
        <v>2</v>
      </c>
      <c r="CD27" s="256">
        <v>3.9</v>
      </c>
      <c r="CE27" s="285">
        <v>4.3</v>
      </c>
      <c r="CF27" s="285">
        <v>4.3</v>
      </c>
      <c r="CG27" s="354">
        <v>4.3</v>
      </c>
      <c r="CH27" s="354">
        <v>4.3</v>
      </c>
      <c r="CI27" s="368">
        <v>4.3</v>
      </c>
      <c r="CJ27" s="354">
        <v>-1.9</v>
      </c>
      <c r="CK27" s="354">
        <v>-2</v>
      </c>
      <c r="CL27" s="368">
        <v>-2.1</v>
      </c>
      <c r="CM27" s="354">
        <f>-796015*100/29482000</f>
        <v>-2.7000033919001423</v>
      </c>
      <c r="CN27" s="354">
        <f>-795328*100/29203000</f>
        <v>-2.723446221278636</v>
      </c>
      <c r="CO27" s="368">
        <v>-2.2</v>
      </c>
      <c r="CP27" s="411">
        <f>-887321*100/30536000</f>
        <v>-2.9058193607545193</v>
      </c>
    </row>
    <row r="28" spans="2:94" ht="12.75">
      <c r="B28" s="13" t="s">
        <v>23</v>
      </c>
      <c r="C28" s="8"/>
      <c r="D28" s="48">
        <v>-2.7</v>
      </c>
      <c r="E28" s="48"/>
      <c r="F28" s="72">
        <v>-2.6</v>
      </c>
      <c r="G28" s="77"/>
      <c r="H28" s="25">
        <v>-2.6</v>
      </c>
      <c r="I28" s="18">
        <v>-2.5</v>
      </c>
      <c r="J28" s="48">
        <v>-1.9</v>
      </c>
      <c r="K28" s="48"/>
      <c r="L28" s="72">
        <v>-2.2</v>
      </c>
      <c r="M28" s="77"/>
      <c r="N28" s="25">
        <v>-2.1</v>
      </c>
      <c r="O28" s="25">
        <v>-2</v>
      </c>
      <c r="P28" s="91">
        <v>-2</v>
      </c>
      <c r="Q28" s="92">
        <v>-2</v>
      </c>
      <c r="R28" s="72">
        <v>-2</v>
      </c>
      <c r="S28" s="77"/>
      <c r="T28" s="25">
        <v>-1.4</v>
      </c>
      <c r="U28" s="25">
        <v>-1.5</v>
      </c>
      <c r="V28" s="91">
        <v>-1.5</v>
      </c>
      <c r="W28" s="91">
        <v>-1.4</v>
      </c>
      <c r="X28" s="115">
        <v>-1.4</v>
      </c>
      <c r="Y28" s="116">
        <v>-1.5</v>
      </c>
      <c r="Z28" s="25">
        <v>-1.7</v>
      </c>
      <c r="AA28" s="25">
        <v>-1.9</v>
      </c>
      <c r="AB28" s="91">
        <v>-1.9</v>
      </c>
      <c r="AC28" s="91">
        <v>-1.2</v>
      </c>
      <c r="AD28" s="115">
        <v>-1.2</v>
      </c>
      <c r="AE28" s="115">
        <v>-1.3</v>
      </c>
      <c r="AF28" s="137">
        <v>-1.3</v>
      </c>
      <c r="AG28" s="138">
        <v>-1.3</v>
      </c>
      <c r="AH28" s="91">
        <v>-2.5</v>
      </c>
      <c r="AI28" s="91">
        <v>-1.4</v>
      </c>
      <c r="AJ28" s="115">
        <v>-1.5</v>
      </c>
      <c r="AK28" s="115">
        <v>-1.5</v>
      </c>
      <c r="AL28" s="137">
        <v>-1.5</v>
      </c>
      <c r="AM28" s="137">
        <v>-1.5</v>
      </c>
      <c r="AN28" s="165">
        <v>-1.5</v>
      </c>
      <c r="AO28" s="173">
        <v>-1.5</v>
      </c>
      <c r="AP28" s="115">
        <v>-0.5</v>
      </c>
      <c r="AQ28" s="115">
        <v>-0.5</v>
      </c>
      <c r="AR28" s="137">
        <v>-0.5</v>
      </c>
      <c r="AS28" s="137">
        <v>-0.5</v>
      </c>
      <c r="AT28" s="164">
        <v>-0.5</v>
      </c>
      <c r="AU28" s="164">
        <v>-0.5</v>
      </c>
      <c r="AV28" s="60">
        <v>-0.5</v>
      </c>
      <c r="AW28" s="202">
        <v>-0.5</v>
      </c>
      <c r="AX28" s="137">
        <v>-0.3</v>
      </c>
      <c r="AY28" s="148">
        <v>-0.6</v>
      </c>
      <c r="AZ28" s="164">
        <v>-0.5</v>
      </c>
      <c r="BA28" s="169">
        <v>-0.4</v>
      </c>
      <c r="BB28" s="60">
        <v>-0.4</v>
      </c>
      <c r="BC28" s="60">
        <v>-0.4</v>
      </c>
      <c r="BD28" s="236">
        <v>-0.4</v>
      </c>
      <c r="BE28" s="222">
        <v>-0.4</v>
      </c>
      <c r="BF28" s="60">
        <v>-3.2</v>
      </c>
      <c r="BG28" s="60">
        <v>-3.2</v>
      </c>
      <c r="BH28" s="236">
        <v>-3.3</v>
      </c>
      <c r="BI28" s="224">
        <v>-3.3</v>
      </c>
      <c r="BJ28" s="255">
        <v>-3.3</v>
      </c>
      <c r="BK28" s="255">
        <v>-3.3</v>
      </c>
      <c r="BL28" s="270">
        <v>-3.3</v>
      </c>
      <c r="BM28" s="419">
        <v>-3.3</v>
      </c>
      <c r="BN28" s="224">
        <v>-8.9</v>
      </c>
      <c r="BO28" s="224">
        <v>-9.2</v>
      </c>
      <c r="BP28" s="255">
        <v>-9.5</v>
      </c>
      <c r="BQ28" s="255">
        <v>-9.5</v>
      </c>
      <c r="BR28" s="285">
        <v>-9.4</v>
      </c>
      <c r="BS28" s="285">
        <v>-9.4</v>
      </c>
      <c r="BT28" s="305">
        <v>-9.4</v>
      </c>
      <c r="BU28" s="361">
        <v>-9.4</v>
      </c>
      <c r="BV28" s="255">
        <v>-7.1</v>
      </c>
      <c r="BW28" s="255">
        <v>-7</v>
      </c>
      <c r="BX28" s="285">
        <v>-7.2</v>
      </c>
      <c r="BY28" s="285">
        <v>-7.2</v>
      </c>
      <c r="BZ28" s="290">
        <v>-7.2</v>
      </c>
      <c r="CA28" s="290">
        <v>-7.2</v>
      </c>
      <c r="CB28" s="367">
        <v>-7.2</v>
      </c>
      <c r="CC28" s="255">
        <v>-5.3</v>
      </c>
      <c r="CD28" s="255">
        <v>-5.3</v>
      </c>
      <c r="CE28" s="285">
        <v>-5.5</v>
      </c>
      <c r="CF28" s="285">
        <v>-5.5</v>
      </c>
      <c r="CG28" s="354">
        <v>-5.5</v>
      </c>
      <c r="CH28" s="354">
        <v>-5.5</v>
      </c>
      <c r="CI28" s="368">
        <v>-5.5</v>
      </c>
      <c r="CJ28" s="354">
        <v>-3.2</v>
      </c>
      <c r="CK28" s="354">
        <v>-3.2</v>
      </c>
      <c r="CL28" s="368">
        <v>-3.2</v>
      </c>
      <c r="CM28" s="354">
        <f>-2985*100/119397</f>
        <v>-2.500062815648634</v>
      </c>
      <c r="CN28" s="354">
        <f>-3516*100/119303</f>
        <v>-2.9471178428036175</v>
      </c>
      <c r="CO28" s="368">
        <v>-2.2</v>
      </c>
      <c r="CP28" s="411">
        <f>-2455*100/126037</f>
        <v>-1.947840713441291</v>
      </c>
    </row>
    <row r="29" spans="2:94" ht="12.75">
      <c r="B29" s="13" t="s">
        <v>24</v>
      </c>
      <c r="C29" s="8"/>
      <c r="D29" s="48">
        <v>-2.7</v>
      </c>
      <c r="E29" s="48"/>
      <c r="F29" s="72">
        <v>-2.7</v>
      </c>
      <c r="G29" s="77"/>
      <c r="H29" s="25">
        <v>-2.7</v>
      </c>
      <c r="I29" s="18">
        <v>-2.8</v>
      </c>
      <c r="J29" s="48">
        <v>-1.6</v>
      </c>
      <c r="K29" s="48"/>
      <c r="L29" s="72">
        <v>-1.6</v>
      </c>
      <c r="M29" s="77"/>
      <c r="N29" s="25">
        <v>-1.6</v>
      </c>
      <c r="O29" s="25">
        <v>-2.1</v>
      </c>
      <c r="P29" s="91">
        <v>-2.1</v>
      </c>
      <c r="Q29" s="92">
        <v>-2.1</v>
      </c>
      <c r="R29" s="72">
        <v>-3</v>
      </c>
      <c r="S29" s="77"/>
      <c r="T29" s="25">
        <v>-2.7</v>
      </c>
      <c r="U29" s="25">
        <v>-2.7</v>
      </c>
      <c r="V29" s="91">
        <v>-2.7</v>
      </c>
      <c r="W29" s="91">
        <v>-2.3</v>
      </c>
      <c r="X29" s="115">
        <v>-2.3</v>
      </c>
      <c r="Y29" s="116">
        <v>-2.3</v>
      </c>
      <c r="Z29" s="25">
        <v>-1.8</v>
      </c>
      <c r="AA29" s="25">
        <v>-1.5</v>
      </c>
      <c r="AB29" s="91">
        <v>-1.5</v>
      </c>
      <c r="AC29" s="91">
        <v>-1.2</v>
      </c>
      <c r="AD29" s="115">
        <v>-1.2</v>
      </c>
      <c r="AE29" s="115">
        <v>-1.2</v>
      </c>
      <c r="AF29" s="137">
        <v>-1.6</v>
      </c>
      <c r="AG29" s="138">
        <v>-1.6</v>
      </c>
      <c r="AH29" s="91">
        <v>-0.8</v>
      </c>
      <c r="AI29" s="91">
        <v>-1</v>
      </c>
      <c r="AJ29" s="115">
        <v>-0.9</v>
      </c>
      <c r="AK29" s="115">
        <v>-0.9</v>
      </c>
      <c r="AL29" s="137">
        <v>-1</v>
      </c>
      <c r="AM29" s="137">
        <v>-1</v>
      </c>
      <c r="AN29" s="165">
        <v>-1</v>
      </c>
      <c r="AO29" s="173">
        <v>-1</v>
      </c>
      <c r="AP29" s="115">
        <v>0.2</v>
      </c>
      <c r="AQ29" s="115">
        <v>0.1</v>
      </c>
      <c r="AR29" s="137">
        <v>-0.2</v>
      </c>
      <c r="AS29" s="137">
        <v>-0.4</v>
      </c>
      <c r="AT29" s="165">
        <v>-0.4</v>
      </c>
      <c r="AU29" s="165">
        <v>-0.4</v>
      </c>
      <c r="AV29" s="54">
        <v>-0.4</v>
      </c>
      <c r="AW29" s="201">
        <v>-0.4</v>
      </c>
      <c r="AX29" s="137">
        <v>0.4</v>
      </c>
      <c r="AY29" s="137">
        <v>-0.3</v>
      </c>
      <c r="AZ29" s="165">
        <v>-0.2</v>
      </c>
      <c r="BA29" s="165">
        <v>-0.2</v>
      </c>
      <c r="BB29" s="54">
        <v>-0.5</v>
      </c>
      <c r="BC29" s="54">
        <v>-0.5</v>
      </c>
      <c r="BD29" s="237">
        <v>-0.5</v>
      </c>
      <c r="BE29" s="221">
        <v>-0.5</v>
      </c>
      <c r="BF29" s="54">
        <v>-4</v>
      </c>
      <c r="BG29" s="54">
        <v>-4.1</v>
      </c>
      <c r="BH29" s="237">
        <v>-4.1</v>
      </c>
      <c r="BI29" s="77">
        <v>-4.2</v>
      </c>
      <c r="BJ29" s="256">
        <v>-4.2</v>
      </c>
      <c r="BK29" s="256">
        <v>-4.2</v>
      </c>
      <c r="BL29" s="270">
        <v>-4.2</v>
      </c>
      <c r="BM29" s="419">
        <v>-4.2</v>
      </c>
      <c r="BN29" s="77">
        <v>-9</v>
      </c>
      <c r="BO29" s="77">
        <v>-10.2</v>
      </c>
      <c r="BP29" s="256">
        <v>-9.7</v>
      </c>
      <c r="BQ29" s="256">
        <v>-9.7</v>
      </c>
      <c r="BR29" s="285">
        <v>-9.8</v>
      </c>
      <c r="BS29" s="285">
        <v>-9.8</v>
      </c>
      <c r="BT29" s="303">
        <v>-9.8</v>
      </c>
      <c r="BU29" s="362">
        <v>-9.8</v>
      </c>
      <c r="BV29" s="256">
        <v>-7.7</v>
      </c>
      <c r="BW29" s="256">
        <v>-8.3</v>
      </c>
      <c r="BX29" s="285">
        <v>-8.2</v>
      </c>
      <c r="BY29" s="285">
        <v>-8.1</v>
      </c>
      <c r="BZ29" s="354">
        <v>-8.1</v>
      </c>
      <c r="CA29" s="354">
        <v>-8.1</v>
      </c>
      <c r="CB29" s="368">
        <v>-8.2</v>
      </c>
      <c r="CC29" s="256">
        <v>-5.4</v>
      </c>
      <c r="CD29" s="256">
        <v>-4.5</v>
      </c>
      <c r="CE29" s="285">
        <v>-3.5</v>
      </c>
      <c r="CF29" s="285">
        <v>-3.4</v>
      </c>
      <c r="CG29" s="354">
        <v>-3.6</v>
      </c>
      <c r="CH29" s="354">
        <v>-3.6</v>
      </c>
      <c r="CI29" s="368">
        <v>-3.5</v>
      </c>
      <c r="CJ29" s="354">
        <v>-1.2</v>
      </c>
      <c r="CK29" s="354">
        <v>-1.3</v>
      </c>
      <c r="CL29" s="368">
        <v>-1.3</v>
      </c>
      <c r="CM29" s="354">
        <f>-236*100/16382</f>
        <v>-1.4406055426687827</v>
      </c>
      <c r="CN29" s="354">
        <f>-266*100/16333</f>
        <v>-1.6286046654013346</v>
      </c>
      <c r="CO29" s="368">
        <v>-1</v>
      </c>
      <c r="CP29" s="411">
        <f>-225*100/24712</f>
        <v>-0.9104888313370023</v>
      </c>
    </row>
    <row r="30" spans="2:94" ht="12.75">
      <c r="B30" s="13" t="s">
        <v>25</v>
      </c>
      <c r="C30" s="8"/>
      <c r="D30" s="48">
        <v>-7</v>
      </c>
      <c r="E30" s="48"/>
      <c r="F30" s="72">
        <v>-7</v>
      </c>
      <c r="G30" s="77"/>
      <c r="H30" s="25">
        <v>-6.5</v>
      </c>
      <c r="I30" s="18">
        <v>-6.2</v>
      </c>
      <c r="J30" s="48">
        <v>-7</v>
      </c>
      <c r="K30" s="48"/>
      <c r="L30" s="72">
        <v>-6.8</v>
      </c>
      <c r="M30" s="77"/>
      <c r="N30" s="25">
        <v>-6.4</v>
      </c>
      <c r="O30" s="25">
        <v>-6.4</v>
      </c>
      <c r="P30" s="91">
        <v>-6.4</v>
      </c>
      <c r="Q30" s="92">
        <v>-6.6</v>
      </c>
      <c r="R30" s="72">
        <v>-6.2</v>
      </c>
      <c r="S30" s="77"/>
      <c r="T30" s="25">
        <v>-5.7</v>
      </c>
      <c r="U30" s="25">
        <v>-5.9</v>
      </c>
      <c r="V30" s="91">
        <v>-5.9</v>
      </c>
      <c r="W30" s="91">
        <v>-5.7</v>
      </c>
      <c r="X30" s="115">
        <v>-5.6</v>
      </c>
      <c r="Y30" s="116">
        <v>-5.5</v>
      </c>
      <c r="Z30" s="25">
        <v>-9.7</v>
      </c>
      <c r="AA30" s="25">
        <v>-9.7</v>
      </c>
      <c r="AB30" s="91">
        <v>-10.5</v>
      </c>
      <c r="AC30" s="91">
        <v>-10.4</v>
      </c>
      <c r="AD30" s="115">
        <v>-10.2</v>
      </c>
      <c r="AE30" s="115">
        <v>-10</v>
      </c>
      <c r="AF30" s="137">
        <v>-10</v>
      </c>
      <c r="AG30" s="138">
        <v>-9.9</v>
      </c>
      <c r="AH30" s="91">
        <v>-5.2</v>
      </c>
      <c r="AI30" s="91">
        <v>-5.1</v>
      </c>
      <c r="AJ30" s="115">
        <v>-5.1</v>
      </c>
      <c r="AK30" s="115">
        <v>-5</v>
      </c>
      <c r="AL30" s="137">
        <v>-5</v>
      </c>
      <c r="AM30" s="137">
        <v>-4.9</v>
      </c>
      <c r="AN30" s="165">
        <v>-4.6</v>
      </c>
      <c r="AO30" s="173">
        <v>-4.7</v>
      </c>
      <c r="AP30" s="115">
        <v>-3.3</v>
      </c>
      <c r="AQ30" s="115">
        <v>-3.2</v>
      </c>
      <c r="AR30" s="137">
        <v>-3.1</v>
      </c>
      <c r="AS30" s="137">
        <v>-3.1</v>
      </c>
      <c r="AT30" s="164">
        <v>-3</v>
      </c>
      <c r="AU30" s="164">
        <v>-2.8</v>
      </c>
      <c r="AV30" s="60">
        <v>-2.9</v>
      </c>
      <c r="AW30" s="202">
        <v>-2.9</v>
      </c>
      <c r="AX30" s="137">
        <v>-2.6</v>
      </c>
      <c r="AY30" s="148">
        <v>-2.5</v>
      </c>
      <c r="AZ30" s="164">
        <v>-2.6</v>
      </c>
      <c r="BA30" s="170">
        <v>-2.3</v>
      </c>
      <c r="BB30" s="60">
        <v>-2.6</v>
      </c>
      <c r="BC30" s="60">
        <v>-2.6</v>
      </c>
      <c r="BD30" s="236">
        <v>-2.6</v>
      </c>
      <c r="BE30" s="222">
        <v>-2.7</v>
      </c>
      <c r="BF30" s="60">
        <v>-4.7</v>
      </c>
      <c r="BG30" s="60">
        <v>-4.7</v>
      </c>
      <c r="BH30" s="236">
        <v>-4.5</v>
      </c>
      <c r="BI30" s="224">
        <v>-4.8</v>
      </c>
      <c r="BJ30" s="255">
        <v>-4.5</v>
      </c>
      <c r="BK30" s="255">
        <v>-4.6</v>
      </c>
      <c r="BL30" s="270">
        <v>-4.6</v>
      </c>
      <c r="BM30" s="419">
        <v>-4.6</v>
      </c>
      <c r="BN30" s="224">
        <v>-3.8</v>
      </c>
      <c r="BO30" s="224">
        <v>-3.8</v>
      </c>
      <c r="BP30" s="255">
        <v>-3.7</v>
      </c>
      <c r="BQ30" s="255">
        <v>-3.7</v>
      </c>
      <c r="BR30" s="285">
        <v>-3.8</v>
      </c>
      <c r="BS30" s="285">
        <v>-3.9</v>
      </c>
      <c r="BT30" s="305">
        <v>-3.7</v>
      </c>
      <c r="BU30" s="361">
        <v>-3.7</v>
      </c>
      <c r="BV30" s="255">
        <v>-3.6</v>
      </c>
      <c r="BW30" s="255">
        <v>-3.6</v>
      </c>
      <c r="BX30" s="285">
        <v>-3.7</v>
      </c>
      <c r="BY30" s="285">
        <v>-3.6</v>
      </c>
      <c r="BZ30" s="290">
        <v>-3.6</v>
      </c>
      <c r="CA30" s="290">
        <v>-3.5</v>
      </c>
      <c r="CB30" s="367">
        <v>-3.5</v>
      </c>
      <c r="CC30" s="255">
        <v>-2.8</v>
      </c>
      <c r="CD30" s="255">
        <v>-2.8</v>
      </c>
      <c r="CE30" s="285">
        <v>-2.7</v>
      </c>
      <c r="CF30" s="285">
        <v>-2.7</v>
      </c>
      <c r="CG30" s="354">
        <v>-2.8</v>
      </c>
      <c r="CH30" s="354">
        <v>-2.8</v>
      </c>
      <c r="CI30" s="368">
        <v>-2.7</v>
      </c>
      <c r="CJ30" s="354">
        <v>-3.3</v>
      </c>
      <c r="CK30" s="354">
        <v>-3.3</v>
      </c>
      <c r="CL30" s="368">
        <v>-3.3</v>
      </c>
      <c r="CM30" s="354">
        <f>-191*100/6979</f>
        <v>-2.736781773893108</v>
      </c>
      <c r="CN30" s="354">
        <f>-191*100/7082</f>
        <v>-2.6969782547303023</v>
      </c>
      <c r="CO30" s="368">
        <v>-2.8</v>
      </c>
      <c r="CP30" s="411">
        <f>-155*100/7524</f>
        <v>-2.060074428495481</v>
      </c>
    </row>
    <row r="31" spans="2:94" ht="12.75">
      <c r="B31" s="13" t="s">
        <v>26</v>
      </c>
      <c r="C31" s="8"/>
      <c r="D31" s="48">
        <v>-1.8</v>
      </c>
      <c r="E31" s="48"/>
      <c r="F31" s="72">
        <v>-1.8</v>
      </c>
      <c r="G31" s="77"/>
      <c r="H31" s="25">
        <v>-1.8</v>
      </c>
      <c r="I31" s="18">
        <v>-0.7</v>
      </c>
      <c r="J31" s="48">
        <v>-3.9</v>
      </c>
      <c r="K31" s="48"/>
      <c r="L31" s="72">
        <v>-3</v>
      </c>
      <c r="M31" s="77"/>
      <c r="N31" s="25">
        <v>-3.5</v>
      </c>
      <c r="O31" s="25">
        <v>-3.8</v>
      </c>
      <c r="P31" s="91">
        <v>-3.9</v>
      </c>
      <c r="Q31" s="92">
        <v>-3.7</v>
      </c>
      <c r="R31" s="72">
        <v>-4.1</v>
      </c>
      <c r="S31" s="77"/>
      <c r="T31" s="25">
        <v>-3.6</v>
      </c>
      <c r="U31" s="25">
        <v>-3.6</v>
      </c>
      <c r="V31" s="91">
        <v>-3.6</v>
      </c>
      <c r="W31" s="91">
        <v>-3.3</v>
      </c>
      <c r="X31" s="115">
        <v>-3.2</v>
      </c>
      <c r="Y31" s="116">
        <v>-3.2</v>
      </c>
      <c r="Z31" s="25">
        <v>-4.1</v>
      </c>
      <c r="AA31" s="25">
        <v>-3.9</v>
      </c>
      <c r="AB31" s="91">
        <v>-4.5</v>
      </c>
      <c r="AC31" s="91">
        <v>-4.8</v>
      </c>
      <c r="AD31" s="115">
        <v>-4.7</v>
      </c>
      <c r="AE31" s="115">
        <v>-4.7</v>
      </c>
      <c r="AF31" s="137">
        <v>-6.3</v>
      </c>
      <c r="AG31" s="138">
        <v>-6.3</v>
      </c>
      <c r="AH31" s="91">
        <v>-4.8</v>
      </c>
      <c r="AI31" s="91">
        <v>-3.9</v>
      </c>
      <c r="AJ31" s="115">
        <v>-3.9</v>
      </c>
      <c r="AK31" s="115">
        <v>-3.9</v>
      </c>
      <c r="AL31" s="137">
        <v>-5.7</v>
      </c>
      <c r="AM31" s="137">
        <v>-5.7</v>
      </c>
      <c r="AN31" s="165">
        <v>-5.7</v>
      </c>
      <c r="AO31" s="173">
        <v>-5.7</v>
      </c>
      <c r="AP31" s="115">
        <v>-2.5</v>
      </c>
      <c r="AQ31" s="115">
        <v>-2.5</v>
      </c>
      <c r="AR31" s="137">
        <v>-4.3</v>
      </c>
      <c r="AS31" s="137">
        <v>-4.3</v>
      </c>
      <c r="AT31" s="165">
        <v>-4.3</v>
      </c>
      <c r="AU31" s="165">
        <v>-4.3</v>
      </c>
      <c r="AV31" s="54">
        <v>-4.3</v>
      </c>
      <c r="AW31" s="201">
        <v>-4.1</v>
      </c>
      <c r="AX31" s="137">
        <v>-3.9</v>
      </c>
      <c r="AY31" s="137">
        <v>-3.8</v>
      </c>
      <c r="AZ31" s="165">
        <v>-3.8</v>
      </c>
      <c r="BA31" s="165">
        <v>-3.8</v>
      </c>
      <c r="BB31" s="54">
        <v>-3.9</v>
      </c>
      <c r="BC31" s="54">
        <v>-3.6</v>
      </c>
      <c r="BD31" s="237">
        <v>-3.6</v>
      </c>
      <c r="BE31" s="221">
        <v>-3.6</v>
      </c>
      <c r="BF31" s="54">
        <v>-3.9</v>
      </c>
      <c r="BG31" s="54">
        <v>-3.6</v>
      </c>
      <c r="BH31" s="237">
        <v>-3.7</v>
      </c>
      <c r="BI31" s="77">
        <v>-3.7</v>
      </c>
      <c r="BJ31" s="256">
        <v>-3.7</v>
      </c>
      <c r="BK31" s="256">
        <v>-3.7</v>
      </c>
      <c r="BL31" s="270">
        <v>-3.7</v>
      </c>
      <c r="BM31" s="419">
        <v>-3.7</v>
      </c>
      <c r="BN31" s="77">
        <v>-7.1</v>
      </c>
      <c r="BO31" s="77">
        <v>-7.2</v>
      </c>
      <c r="BP31" s="256">
        <v>-7.3</v>
      </c>
      <c r="BQ31" s="256">
        <v>-7.3</v>
      </c>
      <c r="BR31" s="285">
        <v>-7.4</v>
      </c>
      <c r="BS31" s="285">
        <v>-7.4</v>
      </c>
      <c r="BT31" s="303">
        <v>-7.4</v>
      </c>
      <c r="BU31" s="362">
        <v>-7.5</v>
      </c>
      <c r="BV31" s="256">
        <v>-7.9</v>
      </c>
      <c r="BW31" s="256">
        <v>-7.8</v>
      </c>
      <c r="BX31" s="285">
        <v>-7.8</v>
      </c>
      <c r="BY31" s="285">
        <v>-7.9</v>
      </c>
      <c r="BZ31" s="354">
        <v>-7.9</v>
      </c>
      <c r="CA31" s="354">
        <v>-7.9</v>
      </c>
      <c r="CB31" s="368">
        <v>-7.8</v>
      </c>
      <c r="CC31" s="256">
        <v>-5.6</v>
      </c>
      <c r="CD31" s="256">
        <v>-5.6</v>
      </c>
      <c r="CE31" s="285">
        <v>-5.1</v>
      </c>
      <c r="CF31" s="285">
        <v>-5</v>
      </c>
      <c r="CG31" s="381">
        <v>-5</v>
      </c>
      <c r="CH31" s="381">
        <v>-5</v>
      </c>
      <c r="CI31" s="394">
        <v>-5.1</v>
      </c>
      <c r="CJ31" s="381">
        <v>-3.9</v>
      </c>
      <c r="CK31" s="381">
        <v>-3.9</v>
      </c>
      <c r="CL31" s="394">
        <v>-3.9</v>
      </c>
      <c r="CM31" s="354">
        <f>-57325*100/1642912</f>
        <v>-3.4892313161021407</v>
      </c>
      <c r="CN31" s="354">
        <f>-79510*100/1642912</f>
        <v>-4.839577530628542</v>
      </c>
      <c r="CO31" s="368">
        <v>-4.3</v>
      </c>
      <c r="CP31" s="411">
        <f>97450*100/1704568</f>
        <v>5.716991049931713</v>
      </c>
    </row>
    <row r="32" spans="2:94" ht="12.75">
      <c r="B32" s="13" t="s">
        <v>28</v>
      </c>
      <c r="C32" s="8"/>
      <c r="D32" s="48">
        <v>-12.7</v>
      </c>
      <c r="E32" s="48"/>
      <c r="F32" s="72">
        <v>-10.4</v>
      </c>
      <c r="G32" s="77"/>
      <c r="H32" s="25">
        <v>-12.3</v>
      </c>
      <c r="I32" s="18">
        <v>-12.3</v>
      </c>
      <c r="J32" s="48">
        <v>-5.6</v>
      </c>
      <c r="K32" s="48"/>
      <c r="L32" s="72">
        <v>-7.3</v>
      </c>
      <c r="M32" s="77"/>
      <c r="N32" s="25">
        <v>-6</v>
      </c>
      <c r="O32" s="25">
        <v>-6</v>
      </c>
      <c r="P32" s="91">
        <v>-6</v>
      </c>
      <c r="Q32" s="92">
        <v>-6.6</v>
      </c>
      <c r="R32" s="72">
        <v>-7.2</v>
      </c>
      <c r="S32" s="77"/>
      <c r="T32" s="25">
        <v>-5.7</v>
      </c>
      <c r="U32" s="25">
        <v>-5.7</v>
      </c>
      <c r="V32" s="91">
        <v>-5.7</v>
      </c>
      <c r="W32" s="91">
        <v>-7.8</v>
      </c>
      <c r="X32" s="115">
        <v>-7.7</v>
      </c>
      <c r="Y32" s="116">
        <v>-7.7</v>
      </c>
      <c r="Z32" s="25">
        <v>-3.6</v>
      </c>
      <c r="AA32" s="25">
        <v>-3.7</v>
      </c>
      <c r="AB32" s="91">
        <v>-3.7</v>
      </c>
      <c r="AC32" s="91">
        <v>-3.8</v>
      </c>
      <c r="AD32" s="115">
        <v>-3.7</v>
      </c>
      <c r="AE32" s="115">
        <v>-3.7</v>
      </c>
      <c r="AF32" s="137">
        <v>-2.7</v>
      </c>
      <c r="AG32" s="138">
        <v>-2.7</v>
      </c>
      <c r="AH32" s="91">
        <v>-3.3</v>
      </c>
      <c r="AI32" s="91">
        <v>-3.1</v>
      </c>
      <c r="AJ32" s="115">
        <v>-3</v>
      </c>
      <c r="AK32" s="115">
        <v>-3</v>
      </c>
      <c r="AL32" s="137">
        <v>-2.4</v>
      </c>
      <c r="AM32" s="137">
        <v>-2.4</v>
      </c>
      <c r="AN32" s="165">
        <v>-2.4</v>
      </c>
      <c r="AO32" s="173">
        <v>-2.3</v>
      </c>
      <c r="AP32" s="115">
        <v>-2.9</v>
      </c>
      <c r="AQ32" s="115">
        <v>-3.1</v>
      </c>
      <c r="AR32" s="137">
        <v>-2.8</v>
      </c>
      <c r="AS32" s="137">
        <v>-2.8</v>
      </c>
      <c r="AT32" s="165">
        <v>-2.8</v>
      </c>
      <c r="AU32" s="165">
        <v>-2.8</v>
      </c>
      <c r="AV32" s="60">
        <v>-2.8</v>
      </c>
      <c r="AW32" s="201">
        <v>-2.8</v>
      </c>
      <c r="AX32" s="137">
        <v>-3.4</v>
      </c>
      <c r="AY32" s="137">
        <v>-3.7</v>
      </c>
      <c r="AZ32" s="165">
        <v>-3.6</v>
      </c>
      <c r="BA32" s="169">
        <v>-3.5</v>
      </c>
      <c r="BB32" s="54">
        <v>-3.5</v>
      </c>
      <c r="BC32" s="54">
        <v>-3.5</v>
      </c>
      <c r="BD32" s="237">
        <v>-3.5</v>
      </c>
      <c r="BE32" s="221">
        <v>-3.2</v>
      </c>
      <c r="BF32" s="54">
        <v>-2.2</v>
      </c>
      <c r="BG32" s="54">
        <v>-2.3</v>
      </c>
      <c r="BH32" s="237">
        <v>-2.3</v>
      </c>
      <c r="BI32" s="77">
        <v>-2.1</v>
      </c>
      <c r="BJ32" s="256">
        <v>-2.1</v>
      </c>
      <c r="BK32" s="256">
        <v>-2.1</v>
      </c>
      <c r="BL32" s="270">
        <v>-2.1</v>
      </c>
      <c r="BM32" s="419">
        <v>-2.1</v>
      </c>
      <c r="BN32" s="77">
        <v>-6.8</v>
      </c>
      <c r="BO32" s="77">
        <v>-7.9</v>
      </c>
      <c r="BP32" s="256">
        <v>-8</v>
      </c>
      <c r="BQ32" s="256">
        <v>-8</v>
      </c>
      <c r="BR32" s="285">
        <v>-8</v>
      </c>
      <c r="BS32" s="285">
        <v>-8</v>
      </c>
      <c r="BT32" s="303">
        <v>-8</v>
      </c>
      <c r="BU32" s="362">
        <v>-8</v>
      </c>
      <c r="BV32" s="256">
        <v>-7.9</v>
      </c>
      <c r="BW32" s="256">
        <v>-7.7</v>
      </c>
      <c r="BX32" s="285">
        <v>-7.7</v>
      </c>
      <c r="BY32" s="285">
        <v>-7.7</v>
      </c>
      <c r="BZ32" s="354">
        <v>-7.7</v>
      </c>
      <c r="CA32" s="354">
        <v>-7.7</v>
      </c>
      <c r="CB32" s="368">
        <v>-7.5</v>
      </c>
      <c r="CC32" s="256">
        <v>-4.9</v>
      </c>
      <c r="CD32" s="256">
        <v>-5.8</v>
      </c>
      <c r="CE32" s="285">
        <v>-4.8</v>
      </c>
      <c r="CF32" s="285">
        <v>-4.9</v>
      </c>
      <c r="CG32" s="354">
        <v>-5.1</v>
      </c>
      <c r="CH32" s="354">
        <v>-5.1</v>
      </c>
      <c r="CI32" s="368">
        <v>-4.8</v>
      </c>
      <c r="CJ32" s="354">
        <v>-4.3</v>
      </c>
      <c r="CK32" s="354">
        <v>-4.5</v>
      </c>
      <c r="CL32" s="368">
        <v>-4.5</v>
      </c>
      <c r="CM32" s="354">
        <f>-2187*100/74372</f>
        <v>-2.9406228150379174</v>
      </c>
      <c r="CN32" s="354">
        <f>-2255*100/72987</f>
        <v>-3.089591297080302</v>
      </c>
      <c r="CO32" s="368">
        <v>-2.8</v>
      </c>
      <c r="CP32" s="411">
        <f>-2000*100/75773</f>
        <v>-2.639462605413538</v>
      </c>
    </row>
    <row r="33" spans="2:94" ht="13.5" thickBot="1">
      <c r="B33" s="274" t="s">
        <v>29</v>
      </c>
      <c r="C33" s="22"/>
      <c r="D33" s="61">
        <v>-3.2</v>
      </c>
      <c r="E33" s="61"/>
      <c r="F33" s="78">
        <v>-3.3</v>
      </c>
      <c r="G33" s="79"/>
      <c r="H33" s="26">
        <v>-3</v>
      </c>
      <c r="I33" s="23">
        <v>-3.5</v>
      </c>
      <c r="J33" s="61">
        <v>-2.5</v>
      </c>
      <c r="K33" s="61"/>
      <c r="L33" s="78">
        <v>-2.8</v>
      </c>
      <c r="M33" s="79"/>
      <c r="N33" s="26">
        <v>-2.7</v>
      </c>
      <c r="O33" s="26">
        <v>-2.8</v>
      </c>
      <c r="P33" s="100">
        <v>-2.8</v>
      </c>
      <c r="Q33" s="101">
        <v>-3.9</v>
      </c>
      <c r="R33" s="78">
        <v>-2.6</v>
      </c>
      <c r="S33" s="79"/>
      <c r="T33" s="26">
        <v>-1.9</v>
      </c>
      <c r="U33" s="26">
        <v>-2.4</v>
      </c>
      <c r="V33" s="100">
        <v>-2.4</v>
      </c>
      <c r="W33" s="100">
        <v>-2.7</v>
      </c>
      <c r="X33" s="123">
        <v>-2.7</v>
      </c>
      <c r="Y33" s="124">
        <v>-2.5</v>
      </c>
      <c r="Z33" s="26">
        <v>-1.8</v>
      </c>
      <c r="AA33" s="26">
        <v>-2</v>
      </c>
      <c r="AB33" s="100">
        <v>-2</v>
      </c>
      <c r="AC33" s="100">
        <v>-2.7</v>
      </c>
      <c r="AD33" s="123">
        <v>-2.8</v>
      </c>
      <c r="AE33" s="123">
        <v>-2.8</v>
      </c>
      <c r="AF33" s="145">
        <v>-2.8</v>
      </c>
      <c r="AG33" s="146">
        <v>-2.7</v>
      </c>
      <c r="AH33" s="100">
        <v>-1.9</v>
      </c>
      <c r="AI33" s="100">
        <v>-2.1</v>
      </c>
      <c r="AJ33" s="123">
        <v>-2.3</v>
      </c>
      <c r="AK33" s="123">
        <v>-2.3</v>
      </c>
      <c r="AL33" s="145">
        <v>-2.3</v>
      </c>
      <c r="AM33" s="145">
        <v>-2.3</v>
      </c>
      <c r="AN33" s="170">
        <v>-2.3</v>
      </c>
      <c r="AO33" s="188">
        <v>-2.2</v>
      </c>
      <c r="AP33" s="123">
        <v>-1.8</v>
      </c>
      <c r="AQ33" s="123">
        <v>-1.4</v>
      </c>
      <c r="AR33" s="149">
        <v>-1.5</v>
      </c>
      <c r="AS33" s="145">
        <v>-1.5</v>
      </c>
      <c r="AT33" s="171">
        <v>-1.5</v>
      </c>
      <c r="AU33" s="166">
        <v>-1.4</v>
      </c>
      <c r="AV33" s="216">
        <v>-1.4</v>
      </c>
      <c r="AW33" s="203">
        <v>-1.4</v>
      </c>
      <c r="AX33" s="145">
        <v>-1.4</v>
      </c>
      <c r="AY33" s="139">
        <v>-1.2</v>
      </c>
      <c r="AZ33" s="166">
        <v>-1.2</v>
      </c>
      <c r="BA33" s="166">
        <v>-1.2</v>
      </c>
      <c r="BB33" s="216">
        <v>-1.3</v>
      </c>
      <c r="BC33" s="216">
        <v>-1.3</v>
      </c>
      <c r="BD33" s="239">
        <v>-1.3</v>
      </c>
      <c r="BE33" s="225">
        <v>-1.3</v>
      </c>
      <c r="BF33" s="56">
        <v>-0.9</v>
      </c>
      <c r="BG33" s="56">
        <v>-1.8</v>
      </c>
      <c r="BH33" s="239">
        <v>-1.7</v>
      </c>
      <c r="BI33" s="244">
        <v>-1.8</v>
      </c>
      <c r="BJ33" s="259">
        <v>-1.8</v>
      </c>
      <c r="BK33" s="259">
        <v>-1.9</v>
      </c>
      <c r="BL33" s="272">
        <v>-1.9</v>
      </c>
      <c r="BM33" s="421">
        <v>-1.9</v>
      </c>
      <c r="BN33" s="244">
        <v>-5.5</v>
      </c>
      <c r="BO33" s="244">
        <v>-5.8</v>
      </c>
      <c r="BP33" s="259">
        <v>-6</v>
      </c>
      <c r="BQ33" s="259">
        <v>-6.1</v>
      </c>
      <c r="BR33" s="287">
        <v>-6.1</v>
      </c>
      <c r="BS33" s="287">
        <v>-6</v>
      </c>
      <c r="BT33" s="306">
        <v>-6.2</v>
      </c>
      <c r="BU33" s="363">
        <v>-6.3</v>
      </c>
      <c r="BV33" s="259">
        <v>-5.6</v>
      </c>
      <c r="BW33" s="259">
        <v>-5.8</v>
      </c>
      <c r="BX33" s="287">
        <v>-6</v>
      </c>
      <c r="BY33" s="287">
        <v>-5.7</v>
      </c>
      <c r="BZ33" s="356">
        <v>-5.9</v>
      </c>
      <c r="CA33" s="356">
        <v>-5.9</v>
      </c>
      <c r="CB33" s="370">
        <v>-5.9</v>
      </c>
      <c r="CC33" s="259">
        <v>-5.5</v>
      </c>
      <c r="CD33" s="259">
        <v>-5.5</v>
      </c>
      <c r="CE33" s="287">
        <v>-6.4</v>
      </c>
      <c r="CF33" s="287">
        <v>-6.4</v>
      </c>
      <c r="CG33" s="356">
        <v>-6.4</v>
      </c>
      <c r="CH33" s="356">
        <v>-6.3</v>
      </c>
      <c r="CI33" s="370">
        <v>-6.4</v>
      </c>
      <c r="CJ33" s="356">
        <v>-4</v>
      </c>
      <c r="CK33" s="356">
        <v>-3.8</v>
      </c>
      <c r="CL33" s="367">
        <v>-4</v>
      </c>
      <c r="CM33" s="381">
        <f>-1499*100/35495</f>
        <v>-4.223130018312438</v>
      </c>
      <c r="CN33" s="381">
        <f>-1999*100/34908</f>
        <v>-5.726481035865704</v>
      </c>
      <c r="CO33" s="367">
        <v>-14.7</v>
      </c>
      <c r="CP33" s="408">
        <f>-1469*100/35634</f>
        <v>-4.1224673065050235</v>
      </c>
    </row>
    <row r="34" spans="2:94" ht="13.5" thickTop="1">
      <c r="B34" s="7" t="s">
        <v>20</v>
      </c>
      <c r="C34" s="2"/>
      <c r="D34" s="46">
        <v>-0.6</v>
      </c>
      <c r="E34" s="46"/>
      <c r="F34" s="71">
        <v>-0.5</v>
      </c>
      <c r="G34" s="76"/>
      <c r="H34" s="24"/>
      <c r="I34" s="21"/>
      <c r="J34" s="46">
        <v>1.7</v>
      </c>
      <c r="K34" s="46"/>
      <c r="L34" s="71">
        <v>0.2</v>
      </c>
      <c r="M34" s="76"/>
      <c r="N34" s="24"/>
      <c r="O34" s="24"/>
      <c r="P34" s="102"/>
      <c r="Q34" s="99"/>
      <c r="R34" s="71">
        <v>-0.6</v>
      </c>
      <c r="S34" s="76"/>
      <c r="T34" s="24"/>
      <c r="U34" s="24"/>
      <c r="V34" s="102"/>
      <c r="W34" s="102"/>
      <c r="X34" s="113"/>
      <c r="Y34" s="125"/>
      <c r="Z34" s="24"/>
      <c r="AA34" s="24"/>
      <c r="AB34" s="102"/>
      <c r="AC34" s="102"/>
      <c r="AD34" s="113"/>
      <c r="AE34" s="113"/>
      <c r="AF34" s="135">
        <v>0.9</v>
      </c>
      <c r="AG34" s="147">
        <v>0</v>
      </c>
      <c r="AH34" s="102"/>
      <c r="AI34" s="102"/>
      <c r="AJ34" s="113"/>
      <c r="AK34" s="113"/>
      <c r="AL34" s="135">
        <v>2.2</v>
      </c>
      <c r="AM34" s="135">
        <v>2.3</v>
      </c>
      <c r="AN34" s="169">
        <v>1.4</v>
      </c>
      <c r="AO34" s="189">
        <v>1.6</v>
      </c>
      <c r="AP34" s="113"/>
      <c r="AQ34" s="113"/>
      <c r="AR34" s="148">
        <v>1.9</v>
      </c>
      <c r="AS34" s="135">
        <v>2</v>
      </c>
      <c r="AT34" s="164">
        <v>1.8</v>
      </c>
      <c r="AU34" s="164">
        <v>1.9</v>
      </c>
      <c r="AV34" s="60">
        <v>1.9</v>
      </c>
      <c r="AW34" s="202">
        <v>1.9</v>
      </c>
      <c r="AX34" s="135">
        <v>3.3</v>
      </c>
      <c r="AY34" s="148">
        <v>3.2</v>
      </c>
      <c r="AZ34" s="164">
        <v>3</v>
      </c>
      <c r="BA34" s="172">
        <v>3</v>
      </c>
      <c r="BB34" s="60">
        <v>3</v>
      </c>
      <c r="BC34" s="60">
        <v>3</v>
      </c>
      <c r="BD34" s="236">
        <v>3</v>
      </c>
      <c r="BE34" s="222">
        <v>1.9</v>
      </c>
      <c r="BF34" s="60">
        <v>1.5</v>
      </c>
      <c r="BG34" s="60">
        <v>1.8</v>
      </c>
      <c r="BH34" s="236">
        <v>1.8</v>
      </c>
      <c r="BI34" s="224">
        <v>1.7</v>
      </c>
      <c r="BJ34" s="255">
        <v>1.7</v>
      </c>
      <c r="BK34" s="255">
        <v>1.7</v>
      </c>
      <c r="BL34" s="273">
        <v>1.7</v>
      </c>
      <c r="BM34" s="422">
        <v>1.7</v>
      </c>
      <c r="BN34" s="224">
        <v>-3.9</v>
      </c>
      <c r="BO34" s="224">
        <v>-4.7</v>
      </c>
      <c r="BP34" s="255">
        <v>-4.7</v>
      </c>
      <c r="BQ34" s="255">
        <v>-4.3</v>
      </c>
      <c r="BR34" s="284">
        <v>-4.3</v>
      </c>
      <c r="BS34" s="284">
        <v>-4.3</v>
      </c>
      <c r="BT34" s="305">
        <v>-4.3</v>
      </c>
      <c r="BU34" s="361">
        <v>-4.3</v>
      </c>
      <c r="BV34" s="255">
        <v>-3.2</v>
      </c>
      <c r="BW34" s="255">
        <v>-3.1</v>
      </c>
      <c r="BX34" s="284">
        <v>-3.1</v>
      </c>
      <c r="BY34" s="284">
        <v>-3.1</v>
      </c>
      <c r="BZ34" s="290">
        <v>-3.1</v>
      </c>
      <c r="CA34" s="290">
        <v>-3.1</v>
      </c>
      <c r="CB34" s="367">
        <v>-3.1</v>
      </c>
      <c r="CC34" s="255">
        <v>-2.5</v>
      </c>
      <c r="CD34" s="255">
        <v>-2.5</v>
      </c>
      <c r="CE34" s="284">
        <v>-2.1</v>
      </c>
      <c r="CF34" s="284">
        <v>-2</v>
      </c>
      <c r="CG34" s="290">
        <v>-2</v>
      </c>
      <c r="CH34" s="290">
        <v>-2</v>
      </c>
      <c r="CI34" s="367">
        <v>-2</v>
      </c>
      <c r="CJ34" s="290">
        <v>-0.8</v>
      </c>
      <c r="CK34" s="290">
        <v>-0.8</v>
      </c>
      <c r="CL34" s="398">
        <v>-0.8</v>
      </c>
      <c r="CM34" s="382">
        <f>-1073*100/79932</f>
        <v>-1.342391032377521</v>
      </c>
      <c r="CN34" s="382">
        <f>(-1580/78935)*100</f>
        <v>-2.0016469246848674</v>
      </c>
      <c r="CO34" s="395">
        <v>-1.5</v>
      </c>
      <c r="CP34" s="412">
        <f>-1470*100/80699</f>
        <v>-1.8215839105812959</v>
      </c>
    </row>
    <row r="35" spans="2:94" ht="13.5" thickBot="1">
      <c r="B35" s="343" t="s">
        <v>27</v>
      </c>
      <c r="C35" s="22"/>
      <c r="D35" s="61">
        <v>-4.5</v>
      </c>
      <c r="E35" s="61"/>
      <c r="F35" s="78">
        <v>-4.6</v>
      </c>
      <c r="G35" s="79"/>
      <c r="H35" s="26"/>
      <c r="I35" s="23"/>
      <c r="J35" s="61">
        <v>-3.4</v>
      </c>
      <c r="K35" s="61"/>
      <c r="L35" s="80">
        <v>-3.3</v>
      </c>
      <c r="M35" s="314"/>
      <c r="N35" s="315"/>
      <c r="O35" s="315"/>
      <c r="P35" s="316"/>
      <c r="Q35" s="317"/>
      <c r="R35" s="78">
        <v>-2.2</v>
      </c>
      <c r="S35" s="79"/>
      <c r="T35" s="26"/>
      <c r="U35" s="26"/>
      <c r="V35" s="100"/>
      <c r="W35" s="100"/>
      <c r="X35" s="123"/>
      <c r="Y35" s="124"/>
      <c r="Z35" s="26"/>
      <c r="AA35" s="26"/>
      <c r="AB35" s="100"/>
      <c r="AC35" s="100"/>
      <c r="AD35" s="123"/>
      <c r="AE35" s="123"/>
      <c r="AF35" s="145">
        <v>-1.5</v>
      </c>
      <c r="AG35" s="146">
        <v>-1.5</v>
      </c>
      <c r="AH35" s="100"/>
      <c r="AI35" s="100"/>
      <c r="AJ35" s="123"/>
      <c r="AK35" s="123"/>
      <c r="AL35" s="145">
        <v>-1.5</v>
      </c>
      <c r="AM35" s="145">
        <v>-1.5</v>
      </c>
      <c r="AN35" s="170">
        <v>-1.2</v>
      </c>
      <c r="AO35" s="188">
        <v>-1.2</v>
      </c>
      <c r="AP35" s="123"/>
      <c r="AQ35" s="123"/>
      <c r="AR35" s="145">
        <v>-1.4</v>
      </c>
      <c r="AS35" s="145">
        <v>-1.4</v>
      </c>
      <c r="AT35" s="170">
        <v>-1.2</v>
      </c>
      <c r="AU35" s="170">
        <v>-1.2</v>
      </c>
      <c r="AV35" s="318">
        <v>-1.2</v>
      </c>
      <c r="AW35" s="319">
        <v>-1.2</v>
      </c>
      <c r="AX35" s="145">
        <v>-1.9</v>
      </c>
      <c r="AY35" s="145">
        <v>-1.9</v>
      </c>
      <c r="AZ35" s="170">
        <v>-2.2</v>
      </c>
      <c r="BA35" s="170">
        <v>-2.2</v>
      </c>
      <c r="BB35" s="318">
        <v>-2.2</v>
      </c>
      <c r="BC35" s="318">
        <v>-2.2</v>
      </c>
      <c r="BD35" s="320">
        <v>-2.2</v>
      </c>
      <c r="BE35" s="321">
        <v>-2.2</v>
      </c>
      <c r="BF35" s="318">
        <v>-5.4</v>
      </c>
      <c r="BG35" s="318">
        <v>-5.5</v>
      </c>
      <c r="BH35" s="320">
        <v>-5.4</v>
      </c>
      <c r="BI35" s="79">
        <v>-5.7</v>
      </c>
      <c r="BJ35" s="322">
        <v>-5.7</v>
      </c>
      <c r="BK35" s="322">
        <v>-5.7</v>
      </c>
      <c r="BL35" s="323">
        <v>-5.7</v>
      </c>
      <c r="BM35" s="423">
        <v>-5.7</v>
      </c>
      <c r="BN35" s="79">
        <v>-8.3</v>
      </c>
      <c r="BO35" s="79">
        <v>-8.6</v>
      </c>
      <c r="BP35" s="322">
        <v>-8.5</v>
      </c>
      <c r="BQ35" s="322">
        <v>-9</v>
      </c>
      <c r="BR35" s="324">
        <v>-9</v>
      </c>
      <c r="BS35" s="324">
        <v>-9</v>
      </c>
      <c r="BT35" s="310">
        <v>-9</v>
      </c>
      <c r="BU35" s="387">
        <v>-9</v>
      </c>
      <c r="BV35" s="322">
        <v>-6.4</v>
      </c>
      <c r="BW35" s="322">
        <v>-6.9</v>
      </c>
      <c r="BX35" s="324">
        <v>-6.8</v>
      </c>
      <c r="BY35" s="324">
        <v>-6.8</v>
      </c>
      <c r="BZ35" s="381">
        <v>-6.8</v>
      </c>
      <c r="CA35" s="381">
        <v>-6.8</v>
      </c>
      <c r="CB35" s="394">
        <v>-6.8</v>
      </c>
      <c r="CC35" s="322">
        <v>-4.5</v>
      </c>
      <c r="CD35" s="322">
        <v>-4.7</v>
      </c>
      <c r="CE35" s="324">
        <v>-5.2</v>
      </c>
      <c r="CF35" s="324">
        <v>-5.5</v>
      </c>
      <c r="CG35" s="381">
        <v>-5.6</v>
      </c>
      <c r="CH35" s="381">
        <v>-5.6</v>
      </c>
      <c r="CI35" s="394">
        <v>-5.5</v>
      </c>
      <c r="CJ35" s="381">
        <v>-2.9</v>
      </c>
      <c r="CK35" s="381">
        <v>-3</v>
      </c>
      <c r="CL35" s="394">
        <v>-3</v>
      </c>
      <c r="CM35" s="381">
        <f>-14779*100/623300</f>
        <v>-2.3710893630675436</v>
      </c>
      <c r="CN35" s="381">
        <f>-14961*100/626200</f>
        <v>-2.3891727882465665</v>
      </c>
      <c r="CO35" s="367">
        <v>-2.3</v>
      </c>
      <c r="CP35" s="408">
        <f>-14765*100/662769</f>
        <v>-2.227774684694064</v>
      </c>
    </row>
    <row r="36" spans="2:94" ht="14.25" thickBot="1" thickTop="1">
      <c r="B36" s="344" t="s">
        <v>71</v>
      </c>
      <c r="C36" s="345"/>
      <c r="D36" s="346"/>
      <c r="E36" s="346"/>
      <c r="F36" s="347"/>
      <c r="G36" s="74"/>
      <c r="H36" s="5"/>
      <c r="I36" s="6"/>
      <c r="J36" s="346"/>
      <c r="K36" s="346"/>
      <c r="L36" s="348"/>
      <c r="M36" s="349"/>
      <c r="N36" s="350"/>
      <c r="O36" s="350"/>
      <c r="P36" s="351"/>
      <c r="Q36" s="352"/>
      <c r="R36" s="347"/>
      <c r="S36" s="74"/>
      <c r="T36" s="5"/>
      <c r="U36" s="5"/>
      <c r="V36" s="95"/>
      <c r="W36" s="95"/>
      <c r="X36" s="119"/>
      <c r="Y36" s="120"/>
      <c r="Z36" s="5"/>
      <c r="AA36" s="5"/>
      <c r="AB36" s="95"/>
      <c r="AC36" s="95"/>
      <c r="AD36" s="119"/>
      <c r="AE36" s="119"/>
      <c r="AF36" s="141"/>
      <c r="AG36" s="142"/>
      <c r="AH36" s="95"/>
      <c r="AI36" s="95"/>
      <c r="AJ36" s="119"/>
      <c r="AK36" s="119"/>
      <c r="AL36" s="141"/>
      <c r="AM36" s="141"/>
      <c r="AN36" s="167"/>
      <c r="AO36" s="185"/>
      <c r="AP36" s="119"/>
      <c r="AQ36" s="119"/>
      <c r="AR36" s="141"/>
      <c r="AS36" s="141"/>
      <c r="AT36" s="167"/>
      <c r="AU36" s="167"/>
      <c r="AV36" s="58"/>
      <c r="AW36" s="325"/>
      <c r="AX36" s="141"/>
      <c r="AY36" s="141"/>
      <c r="AZ36" s="167"/>
      <c r="BA36" s="167"/>
      <c r="BB36" s="58"/>
      <c r="BC36" s="58"/>
      <c r="BD36" s="326"/>
      <c r="BE36" s="327"/>
      <c r="BF36" s="58"/>
      <c r="BG36" s="58"/>
      <c r="BH36" s="326"/>
      <c r="BI36" s="74"/>
      <c r="BJ36" s="328"/>
      <c r="BK36" s="328"/>
      <c r="BL36" s="329"/>
      <c r="BM36" s="424"/>
      <c r="BN36" s="74"/>
      <c r="BO36" s="74"/>
      <c r="BP36" s="328"/>
      <c r="BQ36" s="328"/>
      <c r="BR36" s="330"/>
      <c r="BS36" s="330"/>
      <c r="BT36" s="312"/>
      <c r="BU36" s="388">
        <v>-5.3</v>
      </c>
      <c r="BV36" s="328"/>
      <c r="BW36" s="328"/>
      <c r="BX36" s="330"/>
      <c r="BY36" s="330"/>
      <c r="BZ36" s="383"/>
      <c r="CA36" s="383">
        <v>-6.4</v>
      </c>
      <c r="CB36" s="396">
        <v>-6.4</v>
      </c>
      <c r="CC36" s="328"/>
      <c r="CD36" s="328"/>
      <c r="CE36" s="330"/>
      <c r="CF36" s="330"/>
      <c r="CG36" s="383"/>
      <c r="CH36" s="383">
        <v>-7.8</v>
      </c>
      <c r="CI36" s="396">
        <v>-7.8</v>
      </c>
      <c r="CJ36" s="383"/>
      <c r="CK36" s="383">
        <v>-5</v>
      </c>
      <c r="CL36" s="396">
        <v>-5</v>
      </c>
      <c r="CM36" s="383"/>
      <c r="CN36" s="383" t="s">
        <v>59</v>
      </c>
      <c r="CO36" s="396">
        <v>-4.9</v>
      </c>
      <c r="CP36" s="413">
        <f>-15866*100/333282</f>
        <v>-4.760533122100804</v>
      </c>
    </row>
    <row r="37" spans="2:94" ht="14.25" thickBot="1" thickTop="1">
      <c r="B37" s="17" t="s">
        <v>36</v>
      </c>
      <c r="C37" s="4"/>
      <c r="D37" s="50"/>
      <c r="E37" s="50"/>
      <c r="F37" s="74"/>
      <c r="G37" s="74"/>
      <c r="H37" s="5"/>
      <c r="I37" s="6"/>
      <c r="J37" s="50"/>
      <c r="K37" s="50"/>
      <c r="L37" s="74"/>
      <c r="M37" s="74"/>
      <c r="N37" s="5"/>
      <c r="O37" s="5"/>
      <c r="P37" s="95"/>
      <c r="Q37" s="96"/>
      <c r="R37" s="74"/>
      <c r="S37" s="74"/>
      <c r="T37" s="5"/>
      <c r="U37" s="5"/>
      <c r="V37" s="95"/>
      <c r="W37" s="95"/>
      <c r="X37" s="119"/>
      <c r="Y37" s="120"/>
      <c r="Z37" s="5"/>
      <c r="AA37" s="5"/>
      <c r="AB37" s="95"/>
      <c r="AC37" s="95"/>
      <c r="AD37" s="119"/>
      <c r="AE37" s="119"/>
      <c r="AF37" s="141">
        <v>-3.1</v>
      </c>
      <c r="AG37" s="142">
        <v>-3.1</v>
      </c>
      <c r="AH37" s="95"/>
      <c r="AI37" s="95"/>
      <c r="AJ37" s="119"/>
      <c r="AK37" s="119"/>
      <c r="AL37" s="141">
        <v>-2.7</v>
      </c>
      <c r="AM37" s="141">
        <v>-2.8</v>
      </c>
      <c r="AN37" s="167">
        <v>-2.8</v>
      </c>
      <c r="AO37" s="185">
        <v>-2.9</v>
      </c>
      <c r="AP37" s="119"/>
      <c r="AQ37" s="119"/>
      <c r="AR37" s="141">
        <v>-2.4</v>
      </c>
      <c r="AS37" s="141">
        <v>-2.4</v>
      </c>
      <c r="AT37" s="167">
        <v>-2.5</v>
      </c>
      <c r="AU37" s="167">
        <v>-2.4</v>
      </c>
      <c r="AV37" s="58">
        <v>-2.4</v>
      </c>
      <c r="AW37" s="325">
        <v>-2.4</v>
      </c>
      <c r="AX37" s="141">
        <v>-1.7</v>
      </c>
      <c r="AY37" s="141">
        <v>-1.6</v>
      </c>
      <c r="AZ37" s="167">
        <v>-1.4</v>
      </c>
      <c r="BA37" s="167">
        <v>-1.4</v>
      </c>
      <c r="BB37" s="58">
        <v>-1.4</v>
      </c>
      <c r="BC37" s="58">
        <v>-1.4</v>
      </c>
      <c r="BD37" s="326">
        <v>-1.4</v>
      </c>
      <c r="BE37" s="327">
        <v>-1.5</v>
      </c>
      <c r="BF37" s="58">
        <v>-2.3</v>
      </c>
      <c r="BG37" s="58">
        <v>-2.3</v>
      </c>
      <c r="BH37" s="326">
        <v>-2.3</v>
      </c>
      <c r="BI37" s="74">
        <v>-2.3</v>
      </c>
      <c r="BJ37" s="328">
        <v>-2.4</v>
      </c>
      <c r="BK37" s="328">
        <v>-2.4</v>
      </c>
      <c r="BL37" s="329">
        <v>-2.4</v>
      </c>
      <c r="BM37" s="424">
        <v>-2.4</v>
      </c>
      <c r="BN37" s="74">
        <v>-6.8</v>
      </c>
      <c r="BO37" s="74">
        <v>-6.8</v>
      </c>
      <c r="BP37" s="328">
        <v>-6.8</v>
      </c>
      <c r="BQ37" s="328">
        <v>-6.9</v>
      </c>
      <c r="BR37" s="330">
        <v>-6.9</v>
      </c>
      <c r="BS37" s="330">
        <v>-6.9</v>
      </c>
      <c r="BT37" s="312">
        <v>-6.9</v>
      </c>
      <c r="BU37" s="388">
        <v>-6.9</v>
      </c>
      <c r="BV37" s="328">
        <v>-6.4</v>
      </c>
      <c r="BW37" s="328">
        <v>-6.6</v>
      </c>
      <c r="BX37" s="330">
        <v>-6.5</v>
      </c>
      <c r="BY37" s="330">
        <v>-6.5</v>
      </c>
      <c r="BZ37" s="383">
        <v>-6.5</v>
      </c>
      <c r="CA37" s="383">
        <v>-6.5</v>
      </c>
      <c r="CB37" s="396"/>
      <c r="CC37" s="331" t="s">
        <v>59</v>
      </c>
      <c r="CD37" s="331" t="s">
        <v>59</v>
      </c>
      <c r="CE37" s="330">
        <v>-4.5</v>
      </c>
      <c r="CF37" s="330">
        <v>-4.4</v>
      </c>
      <c r="CG37" s="383">
        <v>-4.4</v>
      </c>
      <c r="CH37" s="383">
        <v>-4.4</v>
      </c>
      <c r="CI37" s="396"/>
      <c r="CJ37" s="383">
        <v>-4</v>
      </c>
      <c r="CK37" s="383">
        <v>-3.9</v>
      </c>
      <c r="CL37" s="396"/>
      <c r="CM37" s="383" t="s">
        <v>59</v>
      </c>
      <c r="CN37" s="383" t="s">
        <v>59</v>
      </c>
      <c r="CO37" s="396"/>
      <c r="CP37" s="413" t="s">
        <v>59</v>
      </c>
    </row>
    <row r="38" spans="2:94" ht="14.25" thickBot="1" thickTop="1">
      <c r="B38" s="17" t="s">
        <v>70</v>
      </c>
      <c r="C38" s="4"/>
      <c r="D38" s="50"/>
      <c r="E38" s="50"/>
      <c r="F38" s="74"/>
      <c r="G38" s="74"/>
      <c r="H38" s="5"/>
      <c r="I38" s="6"/>
      <c r="J38" s="50"/>
      <c r="K38" s="50"/>
      <c r="L38" s="74"/>
      <c r="M38" s="74"/>
      <c r="N38" s="5"/>
      <c r="O38" s="5"/>
      <c r="P38" s="95"/>
      <c r="Q38" s="96"/>
      <c r="R38" s="74"/>
      <c r="S38" s="74"/>
      <c r="T38" s="5"/>
      <c r="U38" s="5"/>
      <c r="V38" s="95"/>
      <c r="W38" s="95"/>
      <c r="X38" s="119"/>
      <c r="Y38" s="120"/>
      <c r="Z38" s="5"/>
      <c r="AA38" s="5"/>
      <c r="AB38" s="95"/>
      <c r="AC38" s="95"/>
      <c r="AD38" s="119"/>
      <c r="AE38" s="119"/>
      <c r="AF38" s="141"/>
      <c r="AG38" s="142"/>
      <c r="AH38" s="95"/>
      <c r="AI38" s="95"/>
      <c r="AJ38" s="119"/>
      <c r="AK38" s="119"/>
      <c r="AL38" s="141"/>
      <c r="AM38" s="141"/>
      <c r="AN38" s="167"/>
      <c r="AO38" s="185"/>
      <c r="AP38" s="119"/>
      <c r="AQ38" s="119"/>
      <c r="AR38" s="141"/>
      <c r="AS38" s="141"/>
      <c r="AT38" s="166"/>
      <c r="AU38" s="166"/>
      <c r="AV38" s="56"/>
      <c r="AW38" s="203"/>
      <c r="AX38" s="141"/>
      <c r="AY38" s="139"/>
      <c r="AZ38" s="166"/>
      <c r="BA38" s="166"/>
      <c r="BB38" s="56"/>
      <c r="BC38" s="56"/>
      <c r="BD38" s="239"/>
      <c r="BE38" s="225"/>
      <c r="BF38" s="56"/>
      <c r="BG38" s="56"/>
      <c r="BH38" s="239"/>
      <c r="BI38" s="244"/>
      <c r="BJ38" s="259"/>
      <c r="BK38" s="259"/>
      <c r="BL38" s="272"/>
      <c r="BM38" s="421"/>
      <c r="BN38" s="244"/>
      <c r="BO38" s="244"/>
      <c r="BP38" s="259"/>
      <c r="BQ38" s="259"/>
      <c r="BR38" s="287"/>
      <c r="BS38" s="287"/>
      <c r="BT38" s="306"/>
      <c r="BU38" s="363">
        <v>-6.9</v>
      </c>
      <c r="BV38" s="259"/>
      <c r="BW38" s="259"/>
      <c r="BX38" s="287"/>
      <c r="BY38" s="287"/>
      <c r="BZ38" s="356"/>
      <c r="CA38" s="356">
        <v>-6.5</v>
      </c>
      <c r="CB38" s="370">
        <v>-6.5</v>
      </c>
      <c r="CC38" s="276"/>
      <c r="CD38" s="276"/>
      <c r="CE38" s="287"/>
      <c r="CF38" s="287"/>
      <c r="CG38" s="383"/>
      <c r="CH38" s="383">
        <v>-4.4</v>
      </c>
      <c r="CI38" s="396">
        <v>-4.4</v>
      </c>
      <c r="CJ38" s="383"/>
      <c r="CK38" s="383">
        <v>-3.9</v>
      </c>
      <c r="CL38" s="396">
        <v>-3.9</v>
      </c>
      <c r="CM38" s="383"/>
      <c r="CN38" s="383" t="s">
        <v>59</v>
      </c>
      <c r="CO38" s="396">
        <v>-3.3</v>
      </c>
      <c r="CP38" s="413" t="s">
        <v>59</v>
      </c>
    </row>
    <row r="39" spans="2:94" s="1" customFormat="1" ht="14.25" thickBot="1" thickTop="1">
      <c r="B39" s="17" t="s">
        <v>58</v>
      </c>
      <c r="C39" s="4">
        <v>-5.1</v>
      </c>
      <c r="D39" s="69">
        <v>0.2</v>
      </c>
      <c r="E39" s="50">
        <v>0.1</v>
      </c>
      <c r="F39" s="74">
        <v>0.1</v>
      </c>
      <c r="G39" s="74">
        <v>0.2</v>
      </c>
      <c r="H39" s="5">
        <v>0.2</v>
      </c>
      <c r="I39" s="6">
        <v>0.2</v>
      </c>
      <c r="J39" s="58">
        <v>-1.3</v>
      </c>
      <c r="K39" s="58">
        <v>-1.5</v>
      </c>
      <c r="L39" s="74">
        <v>-1.6</v>
      </c>
      <c r="M39" s="74">
        <v>-1.6</v>
      </c>
      <c r="N39" s="5">
        <v>-1.6</v>
      </c>
      <c r="O39" s="5">
        <v>-1.7</v>
      </c>
      <c r="P39" s="95">
        <v>-1.7</v>
      </c>
      <c r="Q39" s="96">
        <v>-1.9</v>
      </c>
      <c r="R39" s="74">
        <v>-2.2</v>
      </c>
      <c r="S39" s="74">
        <v>-2.2</v>
      </c>
      <c r="T39" s="5">
        <v>-2.3</v>
      </c>
      <c r="U39" s="5">
        <v>-2.4</v>
      </c>
      <c r="V39" s="95">
        <v>-2.4</v>
      </c>
      <c r="W39" s="95">
        <v>-2.5</v>
      </c>
      <c r="X39" s="119">
        <v>-2.5</v>
      </c>
      <c r="Y39" s="120">
        <v>-2.5</v>
      </c>
      <c r="Z39" s="5">
        <v>-2.7</v>
      </c>
      <c r="AA39" s="5">
        <v>-2.7</v>
      </c>
      <c r="AB39" s="95">
        <v>-2.8</v>
      </c>
      <c r="AC39" s="95">
        <v>-3</v>
      </c>
      <c r="AD39" s="119">
        <v>-3</v>
      </c>
      <c r="AE39" s="119">
        <v>-3.1</v>
      </c>
      <c r="AF39" s="141">
        <v>-3</v>
      </c>
      <c r="AG39" s="142">
        <v>-3.1</v>
      </c>
      <c r="AH39" s="95">
        <v>-2.7</v>
      </c>
      <c r="AI39" s="95">
        <v>-2.7</v>
      </c>
      <c r="AJ39" s="119">
        <v>-2.8</v>
      </c>
      <c r="AK39" s="119">
        <v>-2.8</v>
      </c>
      <c r="AL39" s="141">
        <v>-2.8</v>
      </c>
      <c r="AM39" s="141">
        <v>-2.8</v>
      </c>
      <c r="AN39" s="167">
        <v>-2.9</v>
      </c>
      <c r="AO39" s="185">
        <v>-2.9</v>
      </c>
      <c r="AP39" s="119">
        <v>-2.4</v>
      </c>
      <c r="AQ39" s="119">
        <v>-2.4</v>
      </c>
      <c r="AR39" s="141">
        <v>-2.5</v>
      </c>
      <c r="AS39" s="141">
        <v>-2.5</v>
      </c>
      <c r="AT39" s="166">
        <v>-2.5</v>
      </c>
      <c r="AU39" s="166">
        <v>-2.5</v>
      </c>
      <c r="AV39" s="56">
        <v>-2.5</v>
      </c>
      <c r="AW39" s="203">
        <v>-2.5</v>
      </c>
      <c r="AX39" s="141">
        <v>-1.6</v>
      </c>
      <c r="AY39" s="139">
        <v>-1.5</v>
      </c>
      <c r="AZ39" s="166">
        <v>-1.3</v>
      </c>
      <c r="BA39" s="166">
        <v>-1.3</v>
      </c>
      <c r="BB39" s="56">
        <v>-1.3</v>
      </c>
      <c r="BC39" s="56">
        <v>-1.3</v>
      </c>
      <c r="BD39" s="239">
        <v>-1.3</v>
      </c>
      <c r="BE39" s="225">
        <v>-1.4</v>
      </c>
      <c r="BF39" s="56">
        <v>-1.9</v>
      </c>
      <c r="BG39" s="56">
        <v>-2</v>
      </c>
      <c r="BH39" s="239">
        <v>-2</v>
      </c>
      <c r="BI39" s="244">
        <v>-2</v>
      </c>
      <c r="BJ39" s="259">
        <v>-2</v>
      </c>
      <c r="BK39" s="259">
        <v>-2.1</v>
      </c>
      <c r="BL39" s="272">
        <v>-2.1</v>
      </c>
      <c r="BM39" s="421">
        <v>-2.1</v>
      </c>
      <c r="BN39" s="244">
        <v>-6.3</v>
      </c>
      <c r="BO39" s="244">
        <v>-6.3</v>
      </c>
      <c r="BP39" s="259">
        <v>-6.3</v>
      </c>
      <c r="BQ39" s="259">
        <v>-6.4</v>
      </c>
      <c r="BR39" s="287">
        <v>-6.4</v>
      </c>
      <c r="BS39" s="287">
        <v>-6.3</v>
      </c>
      <c r="BT39" s="306">
        <v>-6.4</v>
      </c>
      <c r="BU39" s="363">
        <v>-6.4</v>
      </c>
      <c r="BV39" s="259">
        <v>-6</v>
      </c>
      <c r="BW39" s="259">
        <v>-6.2</v>
      </c>
      <c r="BX39" s="287">
        <v>-6.2</v>
      </c>
      <c r="BY39" s="287">
        <v>-6.2</v>
      </c>
      <c r="BZ39" s="356">
        <v>-6.2</v>
      </c>
      <c r="CA39" s="356">
        <v>-6.2</v>
      </c>
      <c r="CB39" s="370">
        <v>-6.2</v>
      </c>
      <c r="CC39" s="276" t="s">
        <v>59</v>
      </c>
      <c r="CD39" s="276" t="s">
        <v>59</v>
      </c>
      <c r="CE39" s="287">
        <v>-4.1</v>
      </c>
      <c r="CF39" s="287">
        <v>-4.1</v>
      </c>
      <c r="CG39" s="383">
        <v>-4.2</v>
      </c>
      <c r="CH39" s="383">
        <v>-4.2</v>
      </c>
      <c r="CI39" s="396">
        <v>-4.1</v>
      </c>
      <c r="CJ39" s="383">
        <v>-3.7</v>
      </c>
      <c r="CK39" s="383">
        <v>-3.7</v>
      </c>
      <c r="CL39" s="396">
        <v>-3.7</v>
      </c>
      <c r="CM39" s="383" t="s">
        <v>59</v>
      </c>
      <c r="CN39" s="383" t="s">
        <v>59</v>
      </c>
      <c r="CO39" s="396">
        <v>-3</v>
      </c>
      <c r="CP39" s="413" t="s">
        <v>59</v>
      </c>
    </row>
    <row r="40" spans="2:89" ht="13.5" thickTop="1">
      <c r="B40" t="s">
        <v>68</v>
      </c>
      <c r="CK40" s="14"/>
    </row>
    <row r="41" ht="12.75">
      <c r="B41" t="s">
        <v>64</v>
      </c>
    </row>
  </sheetData>
  <sheetProtection/>
  <mergeCells count="26">
    <mergeCell ref="CM23:CO23"/>
    <mergeCell ref="R23:Y23"/>
    <mergeCell ref="BF5:BM5"/>
    <mergeCell ref="BV5:CB5"/>
    <mergeCell ref="CC5:CI5"/>
    <mergeCell ref="CJ5:CL5"/>
    <mergeCell ref="CM5:CO5"/>
    <mergeCell ref="AX23:BE23"/>
    <mergeCell ref="AX5:BE5"/>
    <mergeCell ref="BN5:BU5"/>
    <mergeCell ref="D5:I5"/>
    <mergeCell ref="D23:I23"/>
    <mergeCell ref="J5:Q5"/>
    <mergeCell ref="J23:Q23"/>
    <mergeCell ref="AH5:AO5"/>
    <mergeCell ref="AP5:AW5"/>
    <mergeCell ref="Z23:AG23"/>
    <mergeCell ref="Z5:AG5"/>
    <mergeCell ref="AH23:AO23"/>
    <mergeCell ref="R5:Y5"/>
    <mergeCell ref="BN23:BU23"/>
    <mergeCell ref="CC23:CI23"/>
    <mergeCell ref="CJ23:CL23"/>
    <mergeCell ref="BF23:BM23"/>
    <mergeCell ref="AP23:AW23"/>
    <mergeCell ref="BV23:CB23"/>
  </mergeCells>
  <printOptions horizontalCentered="1" verticalCentered="1"/>
  <pageMargins left="0.3937007874015748" right="0.3937007874015748" top="0.7086614173228347" bottom="0.2755905511811024" header="0.5118110236220472" footer="0.1968503937007874"/>
  <pageSetup fitToHeight="1" fitToWidth="1" horizontalDpi="120" verticalDpi="120" orientation="landscape" paperSize="9" scale="85" r:id="rId1"/>
  <headerFooter alignWithMargins="0">
    <oddFooter>&amp;RG:\Work\Ági\Eurostat\Debt&amp;Deficit\[Fájl]\&amp;A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X40"/>
  <sheetViews>
    <sheetView showGridLines="0" view="pageBreakPreview" zoomScale="75" zoomScaleSheetLayoutView="75" zoomScalePageLayoutView="0" workbookViewId="0" topLeftCell="B1">
      <pane xSplit="2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Z14" sqref="CZ14"/>
    </sheetView>
  </sheetViews>
  <sheetFormatPr defaultColWidth="9.00390625" defaultRowHeight="12.75"/>
  <cols>
    <col min="1" max="1" width="1.00390625" style="0" customWidth="1"/>
    <col min="2" max="2" width="17.00390625" style="0" customWidth="1"/>
    <col min="3" max="50" width="6.625" style="0" hidden="1" customWidth="1"/>
    <col min="51" max="56" width="6.625" style="28" hidden="1" customWidth="1"/>
    <col min="57" max="57" width="6.625" style="229" hidden="1" customWidth="1"/>
    <col min="58" max="58" width="6.625" style="28" hidden="1" customWidth="1"/>
    <col min="59" max="62" width="6.625" style="0" hidden="1" customWidth="1"/>
    <col min="63" max="63" width="6.625" style="218" hidden="1" customWidth="1"/>
    <col min="64" max="65" width="6.625" style="249" hidden="1" customWidth="1"/>
    <col min="66" max="68" width="6.625" style="0" hidden="1" customWidth="1"/>
    <col min="69" max="69" width="6.625" style="218" hidden="1" customWidth="1"/>
    <col min="70" max="73" width="6.625" style="249" hidden="1" customWidth="1"/>
    <col min="74" max="75" width="6.625" style="218" hidden="1" customWidth="1"/>
    <col min="76" max="81" width="6.625" style="249" hidden="1" customWidth="1"/>
    <col min="82" max="84" width="6.625" style="249" customWidth="1"/>
    <col min="85" max="89" width="6.625" style="0" customWidth="1"/>
    <col min="90" max="91" width="6.625" style="249" customWidth="1"/>
    <col min="92" max="102" width="7.125" style="0" customWidth="1"/>
  </cols>
  <sheetData>
    <row r="1" ht="12.75">
      <c r="E1" t="s">
        <v>19</v>
      </c>
    </row>
    <row r="2" ht="12.75">
      <c r="B2" s="14" t="s">
        <v>32</v>
      </c>
    </row>
    <row r="3" ht="13.5" thickBot="1">
      <c r="B3" s="14" t="s">
        <v>63</v>
      </c>
    </row>
    <row r="4" spans="2:102" s="14" customFormat="1" ht="31.5" customHeight="1" thickBot="1">
      <c r="B4" s="15" t="s">
        <v>17</v>
      </c>
      <c r="C4" s="9"/>
      <c r="D4" s="29" t="s">
        <v>30</v>
      </c>
      <c r="E4" s="10" t="s">
        <v>15</v>
      </c>
      <c r="F4" s="30" t="s">
        <v>31</v>
      </c>
      <c r="G4" s="30" t="s">
        <v>16</v>
      </c>
      <c r="H4" s="85" t="s">
        <v>38</v>
      </c>
      <c r="I4" s="9" t="s">
        <v>39</v>
      </c>
      <c r="J4" s="29" t="s">
        <v>30</v>
      </c>
      <c r="K4" s="29" t="s">
        <v>15</v>
      </c>
      <c r="L4" s="30" t="s">
        <v>31</v>
      </c>
      <c r="M4" s="30" t="s">
        <v>16</v>
      </c>
      <c r="N4" s="85" t="s">
        <v>38</v>
      </c>
      <c r="O4" s="9" t="s">
        <v>39</v>
      </c>
      <c r="P4" s="36" t="s">
        <v>40</v>
      </c>
      <c r="Q4" s="36" t="s">
        <v>41</v>
      </c>
      <c r="R4" s="30" t="s">
        <v>31</v>
      </c>
      <c r="S4" s="30" t="s">
        <v>16</v>
      </c>
      <c r="T4" s="85" t="s">
        <v>38</v>
      </c>
      <c r="U4" s="9" t="s">
        <v>39</v>
      </c>
      <c r="V4" s="36" t="s">
        <v>40</v>
      </c>
      <c r="W4" s="36" t="s">
        <v>41</v>
      </c>
      <c r="X4" s="126" t="s">
        <v>33</v>
      </c>
      <c r="Y4" s="112" t="s">
        <v>35</v>
      </c>
      <c r="Z4" s="85" t="s">
        <v>38</v>
      </c>
      <c r="AA4" s="9" t="s">
        <v>39</v>
      </c>
      <c r="AB4" s="36" t="s">
        <v>40</v>
      </c>
      <c r="AC4" s="36" t="s">
        <v>41</v>
      </c>
      <c r="AD4" s="112" t="s">
        <v>33</v>
      </c>
      <c r="AE4" s="112" t="s">
        <v>35</v>
      </c>
      <c r="AF4" s="42" t="s">
        <v>45</v>
      </c>
      <c r="AG4" s="42" t="s">
        <v>37</v>
      </c>
      <c r="AH4" s="36" t="s">
        <v>40</v>
      </c>
      <c r="AI4" s="36" t="s">
        <v>41</v>
      </c>
      <c r="AJ4" s="112" t="s">
        <v>33</v>
      </c>
      <c r="AK4" s="112" t="s">
        <v>35</v>
      </c>
      <c r="AL4" s="42" t="s">
        <v>45</v>
      </c>
      <c r="AM4" s="42" t="s">
        <v>37</v>
      </c>
      <c r="AN4" s="163" t="s">
        <v>46</v>
      </c>
      <c r="AO4" s="163" t="s">
        <v>43</v>
      </c>
      <c r="AP4" s="159" t="s">
        <v>33</v>
      </c>
      <c r="AQ4" s="112" t="s">
        <v>35</v>
      </c>
      <c r="AR4" s="42" t="s">
        <v>45</v>
      </c>
      <c r="AS4" s="42" t="s">
        <v>37</v>
      </c>
      <c r="AT4" s="163" t="s">
        <v>46</v>
      </c>
      <c r="AU4" s="163" t="s">
        <v>43</v>
      </c>
      <c r="AV4" s="217" t="s">
        <v>47</v>
      </c>
      <c r="AW4" s="217" t="s">
        <v>48</v>
      </c>
      <c r="AX4" s="42" t="s">
        <v>45</v>
      </c>
      <c r="AY4" s="373" t="s">
        <v>37</v>
      </c>
      <c r="AZ4" s="163" t="s">
        <v>46</v>
      </c>
      <c r="BA4" s="198" t="s">
        <v>43</v>
      </c>
      <c r="BB4" s="217" t="s">
        <v>47</v>
      </c>
      <c r="BC4" s="217" t="s">
        <v>48</v>
      </c>
      <c r="BD4" s="374" t="s">
        <v>49</v>
      </c>
      <c r="BE4" s="374" t="s">
        <v>50</v>
      </c>
      <c r="BF4" s="163" t="s">
        <v>46</v>
      </c>
      <c r="BG4" s="163" t="s">
        <v>43</v>
      </c>
      <c r="BH4" s="217" t="s">
        <v>47</v>
      </c>
      <c r="BI4" s="217" t="s">
        <v>48</v>
      </c>
      <c r="BJ4" s="374" t="s">
        <v>49</v>
      </c>
      <c r="BK4" s="374" t="s">
        <v>50</v>
      </c>
      <c r="BL4" s="262" t="s">
        <v>54</v>
      </c>
      <c r="BM4" s="262" t="s">
        <v>56</v>
      </c>
      <c r="BN4" s="217" t="s">
        <v>47</v>
      </c>
      <c r="BO4" s="217" t="s">
        <v>48</v>
      </c>
      <c r="BP4" s="374" t="s">
        <v>49</v>
      </c>
      <c r="BQ4" s="374" t="s">
        <v>50</v>
      </c>
      <c r="BR4" s="262" t="s">
        <v>54</v>
      </c>
      <c r="BS4" s="262" t="s">
        <v>56</v>
      </c>
      <c r="BT4" s="375" t="s">
        <v>57</v>
      </c>
      <c r="BU4" s="375" t="s">
        <v>65</v>
      </c>
      <c r="BV4" s="374" t="s">
        <v>49</v>
      </c>
      <c r="BW4" s="374" t="s">
        <v>50</v>
      </c>
      <c r="BX4" s="262" t="s">
        <v>54</v>
      </c>
      <c r="BY4" s="262" t="s">
        <v>56</v>
      </c>
      <c r="BZ4" s="375" t="s">
        <v>57</v>
      </c>
      <c r="CA4" s="375" t="s">
        <v>65</v>
      </c>
      <c r="CB4" s="301" t="s">
        <v>67</v>
      </c>
      <c r="CC4" s="301" t="s">
        <v>69</v>
      </c>
      <c r="CD4" s="262" t="s">
        <v>54</v>
      </c>
      <c r="CE4" s="262" t="s">
        <v>56</v>
      </c>
      <c r="CF4" s="375" t="s">
        <v>57</v>
      </c>
      <c r="CG4" s="375" t="s">
        <v>65</v>
      </c>
      <c r="CH4" s="301" t="s">
        <v>67</v>
      </c>
      <c r="CI4" s="376" t="s">
        <v>69</v>
      </c>
      <c r="CJ4" s="364" t="s">
        <v>72</v>
      </c>
      <c r="CK4" s="377" t="s">
        <v>54</v>
      </c>
      <c r="CL4" s="262" t="s">
        <v>56</v>
      </c>
      <c r="CM4" s="375" t="s">
        <v>57</v>
      </c>
      <c r="CN4" s="375" t="s">
        <v>65</v>
      </c>
      <c r="CO4" s="301" t="s">
        <v>67</v>
      </c>
      <c r="CP4" s="301" t="s">
        <v>69</v>
      </c>
      <c r="CQ4" s="364" t="s">
        <v>72</v>
      </c>
      <c r="CR4" s="384" t="s">
        <v>67</v>
      </c>
      <c r="CS4" s="301" t="s">
        <v>69</v>
      </c>
      <c r="CT4" s="364" t="s">
        <v>72</v>
      </c>
      <c r="CU4" s="384" t="s">
        <v>67</v>
      </c>
      <c r="CV4" s="301" t="s">
        <v>69</v>
      </c>
      <c r="CW4" s="364" t="s">
        <v>72</v>
      </c>
      <c r="CX4" s="389" t="s">
        <v>72</v>
      </c>
    </row>
    <row r="5" spans="2:102" s="14" customFormat="1" ht="13.5" thickBot="1">
      <c r="B5" s="379"/>
      <c r="C5" s="11">
        <v>1995</v>
      </c>
      <c r="D5" s="432">
        <v>2000</v>
      </c>
      <c r="E5" s="430"/>
      <c r="F5" s="430"/>
      <c r="G5" s="430"/>
      <c r="H5" s="430"/>
      <c r="I5" s="430"/>
      <c r="J5" s="432">
        <v>2001</v>
      </c>
      <c r="K5" s="430"/>
      <c r="L5" s="430"/>
      <c r="M5" s="430"/>
      <c r="N5" s="430"/>
      <c r="O5" s="430"/>
      <c r="P5" s="430"/>
      <c r="Q5" s="431"/>
      <c r="R5" s="438">
        <v>2002</v>
      </c>
      <c r="S5" s="439"/>
      <c r="T5" s="439"/>
      <c r="U5" s="439"/>
      <c r="V5" s="439"/>
      <c r="W5" s="439"/>
      <c r="X5" s="439"/>
      <c r="Y5" s="441"/>
      <c r="Z5" s="444">
        <v>2003</v>
      </c>
      <c r="AA5" s="430"/>
      <c r="AB5" s="430"/>
      <c r="AC5" s="430"/>
      <c r="AD5" s="430"/>
      <c r="AE5" s="430"/>
      <c r="AF5" s="430"/>
      <c r="AG5" s="430"/>
      <c r="AH5" s="432">
        <v>2004</v>
      </c>
      <c r="AI5" s="430"/>
      <c r="AJ5" s="430"/>
      <c r="AK5" s="430"/>
      <c r="AL5" s="430"/>
      <c r="AM5" s="430"/>
      <c r="AN5" s="430"/>
      <c r="AO5" s="431"/>
      <c r="AP5" s="432">
        <v>2005</v>
      </c>
      <c r="AQ5" s="430"/>
      <c r="AR5" s="430"/>
      <c r="AS5" s="430"/>
      <c r="AT5" s="430"/>
      <c r="AU5" s="430"/>
      <c r="AV5" s="430"/>
      <c r="AW5" s="431"/>
      <c r="AX5" s="432">
        <v>2006</v>
      </c>
      <c r="AY5" s="430"/>
      <c r="AZ5" s="430"/>
      <c r="BA5" s="430"/>
      <c r="BB5" s="430"/>
      <c r="BC5" s="430"/>
      <c r="BD5" s="430"/>
      <c r="BE5" s="431"/>
      <c r="BF5" s="438">
        <v>2007</v>
      </c>
      <c r="BG5" s="439"/>
      <c r="BH5" s="439"/>
      <c r="BI5" s="439"/>
      <c r="BJ5" s="439"/>
      <c r="BK5" s="439"/>
      <c r="BL5" s="439"/>
      <c r="BM5" s="440"/>
      <c r="BN5" s="433">
        <v>2008</v>
      </c>
      <c r="BO5" s="434"/>
      <c r="BP5" s="434"/>
      <c r="BQ5" s="434"/>
      <c r="BR5" s="434"/>
      <c r="BS5" s="434"/>
      <c r="BT5" s="434"/>
      <c r="BU5" s="435"/>
      <c r="BV5" s="433">
        <v>2009</v>
      </c>
      <c r="BW5" s="434"/>
      <c r="BX5" s="434"/>
      <c r="BY5" s="434"/>
      <c r="BZ5" s="434"/>
      <c r="CA5" s="434"/>
      <c r="CB5" s="442"/>
      <c r="CC5" s="443"/>
      <c r="CD5" s="433">
        <v>2010</v>
      </c>
      <c r="CE5" s="434"/>
      <c r="CF5" s="434"/>
      <c r="CG5" s="434"/>
      <c r="CH5" s="434"/>
      <c r="CI5" s="434"/>
      <c r="CJ5" s="437"/>
      <c r="CK5" s="436">
        <v>2011</v>
      </c>
      <c r="CL5" s="434"/>
      <c r="CM5" s="434"/>
      <c r="CN5" s="434"/>
      <c r="CO5" s="434"/>
      <c r="CP5" s="434"/>
      <c r="CQ5" s="437"/>
      <c r="CR5" s="436">
        <v>2012</v>
      </c>
      <c r="CS5" s="434"/>
      <c r="CT5" s="437"/>
      <c r="CU5" s="436">
        <v>2013</v>
      </c>
      <c r="CV5" s="434"/>
      <c r="CW5" s="437"/>
      <c r="CX5" s="372">
        <v>2014</v>
      </c>
    </row>
    <row r="6" spans="2:102" ht="12.75">
      <c r="B6" s="7" t="s">
        <v>0</v>
      </c>
      <c r="C6" s="2"/>
      <c r="D6" s="45">
        <v>109.3</v>
      </c>
      <c r="E6" s="46">
        <v>109.6</v>
      </c>
      <c r="F6" s="71">
        <v>109.6</v>
      </c>
      <c r="G6" s="71">
        <v>109.6</v>
      </c>
      <c r="H6" s="24">
        <v>109.1</v>
      </c>
      <c r="I6" s="21">
        <v>109.1</v>
      </c>
      <c r="J6" s="52">
        <v>107.5</v>
      </c>
      <c r="K6" s="53">
        <v>107.6</v>
      </c>
      <c r="L6" s="71">
        <v>108.5</v>
      </c>
      <c r="M6" s="71">
        <v>108.5</v>
      </c>
      <c r="N6" s="24">
        <v>108.1</v>
      </c>
      <c r="O6" s="24">
        <v>108.1</v>
      </c>
      <c r="P6" s="102">
        <v>108</v>
      </c>
      <c r="Q6" s="99">
        <v>108</v>
      </c>
      <c r="R6" s="71">
        <v>105.4</v>
      </c>
      <c r="S6" s="71">
        <v>105.8</v>
      </c>
      <c r="T6" s="24">
        <v>105.8</v>
      </c>
      <c r="U6" s="24">
        <v>105.8</v>
      </c>
      <c r="V6" s="102">
        <v>105.4</v>
      </c>
      <c r="W6" s="102">
        <v>105.4</v>
      </c>
      <c r="X6" s="113">
        <v>103.2</v>
      </c>
      <c r="Y6" s="125">
        <v>103.3</v>
      </c>
      <c r="Z6" s="86">
        <v>100.5</v>
      </c>
      <c r="AA6" s="24">
        <v>100.7</v>
      </c>
      <c r="AB6" s="102">
        <v>100</v>
      </c>
      <c r="AC6" s="102">
        <v>100</v>
      </c>
      <c r="AD6" s="113">
        <v>98.5</v>
      </c>
      <c r="AE6" s="113">
        <v>98.6</v>
      </c>
      <c r="AF6" s="135">
        <v>98.6</v>
      </c>
      <c r="AG6" s="147">
        <v>98.6</v>
      </c>
      <c r="AH6" s="106">
        <v>95.6</v>
      </c>
      <c r="AI6" s="106">
        <v>95.7</v>
      </c>
      <c r="AJ6" s="129">
        <v>94.7</v>
      </c>
      <c r="AK6" s="129">
        <v>94.3</v>
      </c>
      <c r="AL6" s="152">
        <v>94.3</v>
      </c>
      <c r="AM6" s="153">
        <v>94.2</v>
      </c>
      <c r="AN6" s="176">
        <v>94.2</v>
      </c>
      <c r="AO6" s="190">
        <v>94.3</v>
      </c>
      <c r="AP6" s="129">
        <v>93.3</v>
      </c>
      <c r="AQ6" s="129">
        <v>93.2</v>
      </c>
      <c r="AR6" s="152">
        <v>93.2</v>
      </c>
      <c r="AS6" s="153">
        <v>92.2</v>
      </c>
      <c r="AT6" s="176">
        <v>92.1</v>
      </c>
      <c r="AU6" s="205">
        <v>92.1</v>
      </c>
      <c r="AV6" s="63">
        <v>92.2</v>
      </c>
      <c r="AW6" s="213">
        <v>92.1</v>
      </c>
      <c r="AX6" s="152">
        <v>89.1</v>
      </c>
      <c r="AY6" s="161">
        <v>88.2</v>
      </c>
      <c r="AZ6" s="184">
        <v>88.2</v>
      </c>
      <c r="BA6" s="184">
        <v>87.8</v>
      </c>
      <c r="BB6" s="226">
        <v>87.9</v>
      </c>
      <c r="BC6" s="226">
        <v>88.1</v>
      </c>
      <c r="BD6" s="80">
        <v>88.1</v>
      </c>
      <c r="BE6" s="378">
        <v>88.1</v>
      </c>
      <c r="BF6" s="184">
        <v>84.9</v>
      </c>
      <c r="BG6" s="184">
        <v>83.9</v>
      </c>
      <c r="BH6" s="63">
        <v>84</v>
      </c>
      <c r="BI6" s="63">
        <v>84.2</v>
      </c>
      <c r="BJ6" s="229">
        <v>84.2</v>
      </c>
      <c r="BK6" s="229">
        <v>84.2</v>
      </c>
      <c r="BL6" s="263">
        <v>84.2</v>
      </c>
      <c r="BM6" s="252">
        <v>84.1</v>
      </c>
      <c r="BN6" s="215">
        <v>89.6</v>
      </c>
      <c r="BO6" s="63">
        <v>89.8</v>
      </c>
      <c r="BP6" s="229">
        <v>89.8</v>
      </c>
      <c r="BQ6" s="229">
        <v>89.6</v>
      </c>
      <c r="BR6" s="263">
        <v>89.6</v>
      </c>
      <c r="BS6" s="263">
        <v>89.3</v>
      </c>
      <c r="BT6" s="273">
        <v>89.3</v>
      </c>
      <c r="BU6" s="273">
        <v>89.2</v>
      </c>
      <c r="BV6" s="229">
        <v>96.7</v>
      </c>
      <c r="BW6" s="229">
        <v>96.2</v>
      </c>
      <c r="BX6" s="263">
        <v>96.2</v>
      </c>
      <c r="BY6" s="263">
        <v>95.9</v>
      </c>
      <c r="BZ6" s="284">
        <v>95.8</v>
      </c>
      <c r="CA6" s="284">
        <v>95.7</v>
      </c>
      <c r="CB6" s="309">
        <v>95.7</v>
      </c>
      <c r="CC6" s="293">
        <v>95.7</v>
      </c>
      <c r="CD6" s="263">
        <v>96.8</v>
      </c>
      <c r="CE6" s="263">
        <v>96.2</v>
      </c>
      <c r="CF6" s="284">
        <v>96</v>
      </c>
      <c r="CG6" s="284">
        <v>95.5</v>
      </c>
      <c r="CH6" s="290">
        <v>95.5</v>
      </c>
      <c r="CI6" s="290">
        <v>95.7</v>
      </c>
      <c r="CJ6" s="367">
        <v>96.6</v>
      </c>
      <c r="CK6" s="263">
        <v>97.5</v>
      </c>
      <c r="CL6" s="263">
        <v>96.7</v>
      </c>
      <c r="CM6" s="284">
        <v>98</v>
      </c>
      <c r="CN6" s="284">
        <v>97.8</v>
      </c>
      <c r="CO6" s="366">
        <v>97.8</v>
      </c>
      <c r="CP6" s="307">
        <v>98</v>
      </c>
      <c r="CQ6" s="393">
        <v>99.2</v>
      </c>
      <c r="CR6" s="366">
        <v>99.6</v>
      </c>
      <c r="CS6" s="302">
        <v>99.8</v>
      </c>
      <c r="CT6" s="393">
        <v>101.1</v>
      </c>
      <c r="CU6" s="366">
        <f>383886*100/384270</f>
        <v>99.90007026309625</v>
      </c>
      <c r="CV6" s="302">
        <f>(382610/382710)*100</f>
        <v>99.97387055472812</v>
      </c>
      <c r="CW6" s="425">
        <v>101.5</v>
      </c>
      <c r="CX6" s="426">
        <f>397693*100/391902</f>
        <v>101.47766533470102</v>
      </c>
    </row>
    <row r="7" spans="2:102" ht="12.75">
      <c r="B7" s="13" t="s">
        <v>1</v>
      </c>
      <c r="C7" s="8"/>
      <c r="D7" s="47">
        <v>46.8</v>
      </c>
      <c r="E7" s="48">
        <v>46.8</v>
      </c>
      <c r="F7" s="72">
        <v>47.4</v>
      </c>
      <c r="G7" s="72">
        <v>47.3</v>
      </c>
      <c r="H7" s="25">
        <v>50.1</v>
      </c>
      <c r="I7" s="18">
        <v>52.3</v>
      </c>
      <c r="J7" s="54">
        <v>44.5</v>
      </c>
      <c r="K7" s="55">
        <v>44.7</v>
      </c>
      <c r="L7" s="72">
        <v>45.4</v>
      </c>
      <c r="M7" s="72">
        <v>45.4</v>
      </c>
      <c r="N7" s="25">
        <v>47.8</v>
      </c>
      <c r="O7" s="25">
        <v>49.2</v>
      </c>
      <c r="P7" s="91">
        <v>47.8</v>
      </c>
      <c r="Q7" s="92">
        <v>48</v>
      </c>
      <c r="R7" s="72">
        <v>45.2</v>
      </c>
      <c r="S7" s="72">
        <v>45.5</v>
      </c>
      <c r="T7" s="25">
        <v>47.2</v>
      </c>
      <c r="U7" s="25">
        <v>48.8</v>
      </c>
      <c r="V7" s="91">
        <v>47.2</v>
      </c>
      <c r="W7" s="91">
        <v>47.6</v>
      </c>
      <c r="X7" s="115">
        <v>46.8</v>
      </c>
      <c r="Y7" s="116">
        <v>46.8</v>
      </c>
      <c r="Z7" s="87">
        <v>45</v>
      </c>
      <c r="AA7" s="25">
        <v>45.9</v>
      </c>
      <c r="AB7" s="91">
        <v>44.7</v>
      </c>
      <c r="AC7" s="91">
        <v>45</v>
      </c>
      <c r="AD7" s="115">
        <v>44.4</v>
      </c>
      <c r="AE7" s="115">
        <v>44.4</v>
      </c>
      <c r="AF7" s="137">
        <v>45.8</v>
      </c>
      <c r="AG7" s="138">
        <v>45.8</v>
      </c>
      <c r="AH7" s="107">
        <v>42.7</v>
      </c>
      <c r="AI7" s="107">
        <v>43.2</v>
      </c>
      <c r="AJ7" s="130">
        <v>42.6</v>
      </c>
      <c r="AK7" s="130">
        <v>42.6</v>
      </c>
      <c r="AL7" s="152">
        <v>44</v>
      </c>
      <c r="AM7" s="154">
        <v>44</v>
      </c>
      <c r="AN7" s="177">
        <v>43.8</v>
      </c>
      <c r="AO7" s="191">
        <v>43.8</v>
      </c>
      <c r="AP7" s="130">
        <v>35.8</v>
      </c>
      <c r="AQ7" s="130">
        <v>35.9</v>
      </c>
      <c r="AR7" s="154">
        <v>36.3</v>
      </c>
      <c r="AS7" s="154">
        <v>36.3</v>
      </c>
      <c r="AT7" s="177">
        <v>36.4</v>
      </c>
      <c r="AU7" s="206">
        <v>36.4</v>
      </c>
      <c r="AV7" s="48">
        <v>37.1</v>
      </c>
      <c r="AW7" s="212">
        <v>37.1</v>
      </c>
      <c r="AX7" s="154">
        <v>30.2</v>
      </c>
      <c r="AY7" s="154">
        <v>30.3</v>
      </c>
      <c r="AZ7" s="177">
        <v>30.4</v>
      </c>
      <c r="BA7" s="177">
        <v>30.5</v>
      </c>
      <c r="BB7" s="48">
        <v>31.3</v>
      </c>
      <c r="BC7" s="48">
        <v>31.3</v>
      </c>
      <c r="BD7" s="72">
        <v>32.1</v>
      </c>
      <c r="BE7" s="231">
        <v>32.1</v>
      </c>
      <c r="BF7" s="177">
        <v>26</v>
      </c>
      <c r="BG7" s="177">
        <v>26.2</v>
      </c>
      <c r="BH7" s="48">
        <v>26.8</v>
      </c>
      <c r="BI7" s="48">
        <v>26.8</v>
      </c>
      <c r="BJ7" s="72">
        <v>27.4</v>
      </c>
      <c r="BK7" s="72">
        <v>27.4</v>
      </c>
      <c r="BL7" s="264">
        <v>27.5</v>
      </c>
      <c r="BM7" s="251">
        <v>27.5</v>
      </c>
      <c r="BN7" s="48">
        <v>33.3</v>
      </c>
      <c r="BO7" s="48">
        <v>33.5</v>
      </c>
      <c r="BP7" s="72">
        <v>34.2</v>
      </c>
      <c r="BQ7" s="72">
        <v>34.2</v>
      </c>
      <c r="BR7" s="264">
        <v>34.5</v>
      </c>
      <c r="BS7" s="264">
        <v>34.5</v>
      </c>
      <c r="BT7" s="270">
        <v>33.4</v>
      </c>
      <c r="BU7" s="270">
        <v>33.4</v>
      </c>
      <c r="BV7" s="72">
        <v>41.6</v>
      </c>
      <c r="BW7" s="72">
        <v>41.4</v>
      </c>
      <c r="BX7" s="264">
        <v>41.8</v>
      </c>
      <c r="BY7" s="264">
        <v>41.8</v>
      </c>
      <c r="BZ7" s="285">
        <v>40.6</v>
      </c>
      <c r="CA7" s="285">
        <v>40.6</v>
      </c>
      <c r="CB7" s="303">
        <v>40.7</v>
      </c>
      <c r="CC7" s="294">
        <v>40.7</v>
      </c>
      <c r="CD7" s="264">
        <v>43.6</v>
      </c>
      <c r="CE7" s="264">
        <v>43.7</v>
      </c>
      <c r="CF7" s="285">
        <v>42.9</v>
      </c>
      <c r="CG7" s="285">
        <v>42.9</v>
      </c>
      <c r="CH7" s="354">
        <v>42.7</v>
      </c>
      <c r="CI7" s="354">
        <v>42.7</v>
      </c>
      <c r="CJ7" s="368">
        <v>42.8</v>
      </c>
      <c r="CK7" s="264">
        <v>43</v>
      </c>
      <c r="CL7" s="264">
        <v>43.6</v>
      </c>
      <c r="CM7" s="285">
        <v>46.5</v>
      </c>
      <c r="CN7" s="285">
        <v>46.6</v>
      </c>
      <c r="CO7" s="354">
        <v>46.4</v>
      </c>
      <c r="CP7" s="303">
        <v>46.4</v>
      </c>
      <c r="CQ7" s="368">
        <v>46.4</v>
      </c>
      <c r="CR7" s="354">
        <v>45.8</v>
      </c>
      <c r="CS7" s="303">
        <v>45.4</v>
      </c>
      <c r="CT7" s="368">
        <v>45.4</v>
      </c>
      <c r="CU7" s="354">
        <f>816987*100/1862387</f>
        <v>43.86773533105633</v>
      </c>
      <c r="CV7" s="303">
        <f>812654*100/1852123</f>
        <v>43.876891545539905</v>
      </c>
      <c r="CW7" s="368">
        <v>44.5</v>
      </c>
      <c r="CX7" s="427">
        <f>825901*100/1913147</f>
        <v>43.16976165448865</v>
      </c>
    </row>
    <row r="8" spans="2:102" ht="12.75">
      <c r="B8" s="13" t="s">
        <v>2</v>
      </c>
      <c r="C8" s="8"/>
      <c r="D8" s="47">
        <v>60.3</v>
      </c>
      <c r="E8" s="48">
        <v>60.2</v>
      </c>
      <c r="F8" s="72">
        <v>60.2</v>
      </c>
      <c r="G8" s="72">
        <v>60.2</v>
      </c>
      <c r="H8" s="25">
        <v>60.2</v>
      </c>
      <c r="I8" s="18">
        <v>60.2</v>
      </c>
      <c r="J8" s="54">
        <v>59.8</v>
      </c>
      <c r="K8" s="55">
        <v>59.5</v>
      </c>
      <c r="L8" s="72">
        <v>59.5</v>
      </c>
      <c r="M8" s="72">
        <v>59.5</v>
      </c>
      <c r="N8" s="25">
        <v>59.4</v>
      </c>
      <c r="O8" s="25">
        <v>59.4</v>
      </c>
      <c r="P8" s="91">
        <v>59.4</v>
      </c>
      <c r="Q8" s="92">
        <v>59.6</v>
      </c>
      <c r="R8" s="72">
        <v>60.8</v>
      </c>
      <c r="S8" s="72">
        <v>60.8</v>
      </c>
      <c r="T8" s="25">
        <v>60.8</v>
      </c>
      <c r="U8" s="25">
        <v>60.9</v>
      </c>
      <c r="V8" s="91">
        <v>60.9</v>
      </c>
      <c r="W8" s="91">
        <v>61.2</v>
      </c>
      <c r="X8" s="115">
        <v>60.3</v>
      </c>
      <c r="Y8" s="116">
        <v>60.3</v>
      </c>
      <c r="Z8" s="87">
        <v>64.2</v>
      </c>
      <c r="AA8" s="25">
        <v>64.2</v>
      </c>
      <c r="AB8" s="91">
        <v>64.2</v>
      </c>
      <c r="AC8" s="91">
        <v>64.8</v>
      </c>
      <c r="AD8" s="115">
        <v>63.8</v>
      </c>
      <c r="AE8" s="115">
        <v>63.9</v>
      </c>
      <c r="AF8" s="137">
        <v>63.9</v>
      </c>
      <c r="AG8" s="138">
        <v>63.8</v>
      </c>
      <c r="AH8" s="107">
        <v>66</v>
      </c>
      <c r="AI8" s="107">
        <v>66.4</v>
      </c>
      <c r="AJ8" s="130">
        <v>65.5</v>
      </c>
      <c r="AK8" s="130">
        <v>65.7</v>
      </c>
      <c r="AL8" s="154">
        <v>65.7</v>
      </c>
      <c r="AM8" s="154">
        <v>65.6</v>
      </c>
      <c r="AN8" s="177">
        <v>65.6</v>
      </c>
      <c r="AO8" s="191">
        <v>65.6</v>
      </c>
      <c r="AP8" s="130">
        <v>67.7</v>
      </c>
      <c r="AQ8" s="130">
        <v>67.9</v>
      </c>
      <c r="AR8" s="154">
        <v>67.9</v>
      </c>
      <c r="AS8" s="154">
        <v>67.8</v>
      </c>
      <c r="AT8" s="177">
        <v>67.8</v>
      </c>
      <c r="AU8" s="206">
        <v>67.8</v>
      </c>
      <c r="AV8" s="63">
        <v>67.8</v>
      </c>
      <c r="AW8" s="213">
        <v>68</v>
      </c>
      <c r="AX8" s="154">
        <v>67.9</v>
      </c>
      <c r="AY8" s="152">
        <v>67.5</v>
      </c>
      <c r="AZ8" s="179">
        <v>67.6</v>
      </c>
      <c r="BA8" s="179">
        <v>67.6</v>
      </c>
      <c r="BB8" s="63">
        <v>67.6</v>
      </c>
      <c r="BC8" s="63">
        <v>67.6</v>
      </c>
      <c r="BD8" s="229">
        <v>67.6</v>
      </c>
      <c r="BE8" s="232">
        <v>67.6</v>
      </c>
      <c r="BF8" s="179">
        <v>65</v>
      </c>
      <c r="BG8" s="179">
        <v>65.1</v>
      </c>
      <c r="BH8" s="63">
        <v>65.1</v>
      </c>
      <c r="BI8" s="63">
        <v>65</v>
      </c>
      <c r="BJ8" s="229">
        <v>65</v>
      </c>
      <c r="BK8" s="229">
        <v>64.9</v>
      </c>
      <c r="BL8" s="263">
        <v>64.9</v>
      </c>
      <c r="BM8" s="252">
        <v>65.2</v>
      </c>
      <c r="BN8" s="215">
        <v>65.9</v>
      </c>
      <c r="BO8" s="63">
        <v>65.9</v>
      </c>
      <c r="BP8" s="229">
        <v>66</v>
      </c>
      <c r="BQ8" s="229">
        <v>66.3</v>
      </c>
      <c r="BR8" s="263">
        <v>66.3</v>
      </c>
      <c r="BS8" s="263">
        <v>66.7</v>
      </c>
      <c r="BT8" s="270">
        <v>66.7</v>
      </c>
      <c r="BU8" s="270">
        <v>66.8</v>
      </c>
      <c r="BV8" s="229">
        <v>73.2</v>
      </c>
      <c r="BW8" s="229">
        <v>73.4</v>
      </c>
      <c r="BX8" s="263">
        <v>73.5</v>
      </c>
      <c r="BY8" s="263">
        <v>74.4</v>
      </c>
      <c r="BZ8" s="285">
        <v>74.4</v>
      </c>
      <c r="CA8" s="285">
        <v>74.5</v>
      </c>
      <c r="CB8" s="303">
        <v>74.5</v>
      </c>
      <c r="CC8" s="293">
        <v>74.5</v>
      </c>
      <c r="CD8" s="263">
        <v>83.2</v>
      </c>
      <c r="CE8" s="263">
        <v>83.2</v>
      </c>
      <c r="CF8" s="285">
        <v>83</v>
      </c>
      <c r="CG8" s="285">
        <v>82.5</v>
      </c>
      <c r="CH8" s="366">
        <v>82.4</v>
      </c>
      <c r="CI8" s="290">
        <v>82.5</v>
      </c>
      <c r="CJ8" s="367">
        <v>82.5</v>
      </c>
      <c r="CK8" s="263">
        <v>81.8</v>
      </c>
      <c r="CL8" s="263">
        <v>81.1</v>
      </c>
      <c r="CM8" s="285">
        <v>81.2</v>
      </c>
      <c r="CN8" s="285">
        <v>80.5</v>
      </c>
      <c r="CO8" s="354">
        <v>80.4</v>
      </c>
      <c r="CP8" s="305">
        <v>80</v>
      </c>
      <c r="CQ8" s="368">
        <v>80</v>
      </c>
      <c r="CR8" s="354">
        <v>81.9</v>
      </c>
      <c r="CS8" s="303">
        <v>81</v>
      </c>
      <c r="CT8" s="368">
        <v>81</v>
      </c>
      <c r="CU8" s="354">
        <f>2173170*100/2703412</f>
        <v>80.38619344739166</v>
      </c>
      <c r="CV8" s="303">
        <f>2169582*100/2724612</f>
        <v>79.62902607784154</v>
      </c>
      <c r="CW8" s="368">
        <v>78.4</v>
      </c>
      <c r="CX8" s="427">
        <f>2146594*100/2831866</f>
        <v>75.80139738250327</v>
      </c>
    </row>
    <row r="9" spans="2:102" ht="12.75">
      <c r="B9" s="13" t="s">
        <v>3</v>
      </c>
      <c r="C9" s="8"/>
      <c r="D9" s="47">
        <v>102.8</v>
      </c>
      <c r="E9" s="48">
        <v>104.7</v>
      </c>
      <c r="F9" s="72">
        <v>106.2</v>
      </c>
      <c r="G9" s="72">
        <v>106.2</v>
      </c>
      <c r="H9" s="25">
        <v>106.2</v>
      </c>
      <c r="I9" s="18">
        <v>114</v>
      </c>
      <c r="J9" s="54">
        <v>99.7</v>
      </c>
      <c r="K9" s="53">
        <v>105.1</v>
      </c>
      <c r="L9" s="72">
        <v>107</v>
      </c>
      <c r="M9" s="72">
        <v>106.9</v>
      </c>
      <c r="N9" s="25">
        <v>106.9</v>
      </c>
      <c r="O9" s="25">
        <v>114.7</v>
      </c>
      <c r="P9" s="91">
        <v>114.8</v>
      </c>
      <c r="Q9" s="92">
        <v>114.4</v>
      </c>
      <c r="R9" s="72">
        <v>104.9</v>
      </c>
      <c r="S9" s="72">
        <v>104.7</v>
      </c>
      <c r="T9" s="25">
        <v>104.7</v>
      </c>
      <c r="U9" s="25">
        <v>112.5</v>
      </c>
      <c r="V9" s="91">
        <v>112.2</v>
      </c>
      <c r="W9" s="91">
        <v>111.6</v>
      </c>
      <c r="X9" s="115">
        <v>110.7</v>
      </c>
      <c r="Y9" s="116">
        <v>110.7</v>
      </c>
      <c r="Z9" s="87">
        <v>102.4</v>
      </c>
      <c r="AA9" s="25">
        <v>109.9</v>
      </c>
      <c r="AB9" s="91">
        <v>109.3</v>
      </c>
      <c r="AC9" s="91" t="s">
        <v>42</v>
      </c>
      <c r="AD9" s="115">
        <v>107.8</v>
      </c>
      <c r="AE9" s="115">
        <v>107.8</v>
      </c>
      <c r="AF9" s="137">
        <v>107.8</v>
      </c>
      <c r="AG9" s="138">
        <v>97.9</v>
      </c>
      <c r="AH9" s="107">
        <v>110.5</v>
      </c>
      <c r="AI9" s="107">
        <v>109.3</v>
      </c>
      <c r="AJ9" s="130">
        <v>108.5</v>
      </c>
      <c r="AK9" s="130">
        <v>108.5</v>
      </c>
      <c r="AL9" s="154">
        <v>108.5</v>
      </c>
      <c r="AM9" s="154">
        <v>98.6</v>
      </c>
      <c r="AN9" s="177">
        <v>98.6</v>
      </c>
      <c r="AO9" s="191">
        <v>98.6</v>
      </c>
      <c r="AP9" s="130">
        <v>107.5</v>
      </c>
      <c r="AQ9" s="130">
        <v>107.5</v>
      </c>
      <c r="AR9" s="154">
        <v>107.5</v>
      </c>
      <c r="AS9" s="153">
        <v>98</v>
      </c>
      <c r="AT9" s="176">
        <v>98</v>
      </c>
      <c r="AU9" s="207">
        <v>98.8</v>
      </c>
      <c r="AV9" s="48">
        <v>98.9</v>
      </c>
      <c r="AW9" s="212">
        <v>100</v>
      </c>
      <c r="AX9" s="154">
        <v>104.6</v>
      </c>
      <c r="AY9" s="152">
        <v>95.3</v>
      </c>
      <c r="AZ9" s="176">
        <v>95.3</v>
      </c>
      <c r="BA9" s="176">
        <v>95.9</v>
      </c>
      <c r="BB9" s="48">
        <v>95.9</v>
      </c>
      <c r="BC9" s="48">
        <v>97.1</v>
      </c>
      <c r="BD9" s="72">
        <v>97.8</v>
      </c>
      <c r="BE9" s="241">
        <v>106.1</v>
      </c>
      <c r="BF9" s="176">
        <v>94.5</v>
      </c>
      <c r="BG9" s="184">
        <v>94.8</v>
      </c>
      <c r="BH9" s="48">
        <v>94.8</v>
      </c>
      <c r="BI9" s="48">
        <v>95.6</v>
      </c>
      <c r="BJ9" s="72">
        <v>95.7</v>
      </c>
      <c r="BK9" s="248">
        <v>105</v>
      </c>
      <c r="BL9" s="265">
        <v>105.4</v>
      </c>
      <c r="BM9" s="253">
        <v>107.4</v>
      </c>
      <c r="BN9" s="48">
        <v>97.6</v>
      </c>
      <c r="BO9" s="48">
        <v>99.2</v>
      </c>
      <c r="BP9" s="72">
        <v>99.2</v>
      </c>
      <c r="BQ9" s="248">
        <v>110.3</v>
      </c>
      <c r="BR9" s="265">
        <v>110.7</v>
      </c>
      <c r="BS9" s="265">
        <v>113</v>
      </c>
      <c r="BT9" s="271">
        <v>113</v>
      </c>
      <c r="BU9" s="271">
        <v>112.9</v>
      </c>
      <c r="BV9" s="72">
        <v>115.1</v>
      </c>
      <c r="BW9" s="248">
        <v>126.8</v>
      </c>
      <c r="BX9" s="265">
        <v>127.1</v>
      </c>
      <c r="BY9" s="265">
        <v>129.3</v>
      </c>
      <c r="BZ9" s="286">
        <v>129.4</v>
      </c>
      <c r="CA9" s="286">
        <v>129.7</v>
      </c>
      <c r="CB9" s="304">
        <v>129.7</v>
      </c>
      <c r="CC9" s="300">
        <v>129.7</v>
      </c>
      <c r="CD9" s="265">
        <v>142.8</v>
      </c>
      <c r="CE9" s="265">
        <v>144.9</v>
      </c>
      <c r="CF9" s="286">
        <v>145</v>
      </c>
      <c r="CG9" s="286">
        <v>148.3</v>
      </c>
      <c r="CH9" s="355">
        <v>148.3</v>
      </c>
      <c r="CI9" s="355">
        <v>148.3</v>
      </c>
      <c r="CJ9" s="369">
        <v>148.3</v>
      </c>
      <c r="CK9" s="265">
        <v>154.8</v>
      </c>
      <c r="CL9" s="265">
        <v>163.7</v>
      </c>
      <c r="CM9" s="286">
        <v>165.3</v>
      </c>
      <c r="CN9" s="286">
        <v>170.6</v>
      </c>
      <c r="CO9" s="355">
        <v>170.3</v>
      </c>
      <c r="CP9" s="304">
        <v>170.3</v>
      </c>
      <c r="CQ9" s="369">
        <v>170.3</v>
      </c>
      <c r="CR9" s="355">
        <v>156.9</v>
      </c>
      <c r="CS9" s="304">
        <v>156.9</v>
      </c>
      <c r="CT9" s="369">
        <v>157.2</v>
      </c>
      <c r="CU9" s="355">
        <f>318830*100/183500</f>
        <v>173.7493188010899</v>
      </c>
      <c r="CV9" s="304">
        <f>321000*100/182911</f>
        <v>175.49518618344442</v>
      </c>
      <c r="CW9" s="369">
        <v>175.1</v>
      </c>
      <c r="CX9" s="428">
        <f>320000*100/181872</f>
        <v>175.9479194158529</v>
      </c>
    </row>
    <row r="10" spans="2:102" ht="12.75">
      <c r="B10" s="13" t="s">
        <v>4</v>
      </c>
      <c r="C10" s="8"/>
      <c r="D10" s="47">
        <v>60.4</v>
      </c>
      <c r="E10" s="48">
        <v>60.5</v>
      </c>
      <c r="F10" s="72">
        <v>60.5</v>
      </c>
      <c r="G10" s="72">
        <v>60.5</v>
      </c>
      <c r="H10" s="25">
        <v>61.2</v>
      </c>
      <c r="I10" s="18">
        <v>61.1</v>
      </c>
      <c r="J10" s="54">
        <v>57.2</v>
      </c>
      <c r="K10" s="55">
        <v>57.1</v>
      </c>
      <c r="L10" s="72">
        <v>56.9</v>
      </c>
      <c r="M10" s="72">
        <v>56.8</v>
      </c>
      <c r="N10" s="25">
        <v>57.5</v>
      </c>
      <c r="O10" s="25">
        <v>57.5</v>
      </c>
      <c r="P10" s="91">
        <v>57.8</v>
      </c>
      <c r="Q10" s="92">
        <v>56.3</v>
      </c>
      <c r="R10" s="72">
        <v>54</v>
      </c>
      <c r="S10" s="72">
        <v>53.8</v>
      </c>
      <c r="T10" s="25">
        <v>54.6</v>
      </c>
      <c r="U10" s="25">
        <v>54.4</v>
      </c>
      <c r="V10" s="91">
        <v>55</v>
      </c>
      <c r="W10" s="91">
        <v>53.2</v>
      </c>
      <c r="X10" s="115">
        <v>52.5</v>
      </c>
      <c r="Y10" s="116">
        <v>52.5</v>
      </c>
      <c r="Z10" s="87">
        <v>50.8</v>
      </c>
      <c r="AA10" s="25">
        <v>50.7</v>
      </c>
      <c r="AB10" s="91">
        <v>51.4</v>
      </c>
      <c r="AC10" s="91">
        <v>49.4</v>
      </c>
      <c r="AD10" s="115">
        <v>48.9</v>
      </c>
      <c r="AE10" s="115">
        <v>48.7</v>
      </c>
      <c r="AF10" s="137">
        <v>48.8</v>
      </c>
      <c r="AG10" s="138">
        <v>48.7</v>
      </c>
      <c r="AH10" s="107">
        <v>48.9</v>
      </c>
      <c r="AI10" s="107">
        <v>46.9</v>
      </c>
      <c r="AJ10" s="130">
        <v>46.4</v>
      </c>
      <c r="AK10" s="130">
        <v>46.2</v>
      </c>
      <c r="AL10" s="154">
        <v>46.2</v>
      </c>
      <c r="AM10" s="154">
        <v>46.2</v>
      </c>
      <c r="AN10" s="177">
        <v>46.2</v>
      </c>
      <c r="AO10" s="191">
        <v>46.2</v>
      </c>
      <c r="AP10" s="130">
        <v>43.2</v>
      </c>
      <c r="AQ10" s="130">
        <v>43.1</v>
      </c>
      <c r="AR10" s="154">
        <v>43.2</v>
      </c>
      <c r="AS10" s="154">
        <v>43</v>
      </c>
      <c r="AT10" s="177">
        <v>43</v>
      </c>
      <c r="AU10" s="206">
        <v>43</v>
      </c>
      <c r="AV10" s="63">
        <v>43</v>
      </c>
      <c r="AW10" s="213">
        <v>43</v>
      </c>
      <c r="AX10" s="154">
        <v>39.9</v>
      </c>
      <c r="AY10" s="154">
        <v>39.7</v>
      </c>
      <c r="AZ10" s="177">
        <v>39.7</v>
      </c>
      <c r="BA10" s="177">
        <v>39.6</v>
      </c>
      <c r="BB10" s="63">
        <v>39.6</v>
      </c>
      <c r="BC10" s="63">
        <v>39.6</v>
      </c>
      <c r="BD10" s="229">
        <v>39.6</v>
      </c>
      <c r="BE10" s="232">
        <v>39.6</v>
      </c>
      <c r="BF10" s="177">
        <v>36.2</v>
      </c>
      <c r="BG10" s="177">
        <v>36.2</v>
      </c>
      <c r="BH10" s="63">
        <v>36.2</v>
      </c>
      <c r="BI10" s="63">
        <v>36.1</v>
      </c>
      <c r="BJ10" s="229">
        <v>36.2</v>
      </c>
      <c r="BK10" s="229">
        <v>36.1</v>
      </c>
      <c r="BL10" s="263">
        <v>36.1</v>
      </c>
      <c r="BM10" s="252">
        <v>36.2</v>
      </c>
      <c r="BN10" s="215">
        <v>39.5</v>
      </c>
      <c r="BO10" s="63">
        <v>39.7</v>
      </c>
      <c r="BP10" s="229">
        <v>39.7</v>
      </c>
      <c r="BQ10" s="229">
        <v>39.8</v>
      </c>
      <c r="BR10" s="263">
        <v>39.8</v>
      </c>
      <c r="BS10" s="263">
        <v>40.1</v>
      </c>
      <c r="BT10" s="270">
        <v>40.2</v>
      </c>
      <c r="BU10" s="270">
        <v>40.2</v>
      </c>
      <c r="BV10" s="229">
        <v>53.2</v>
      </c>
      <c r="BW10" s="229">
        <v>53.2</v>
      </c>
      <c r="BX10" s="263">
        <v>53.3</v>
      </c>
      <c r="BY10" s="263">
        <v>53.8</v>
      </c>
      <c r="BZ10" s="285">
        <v>53.9</v>
      </c>
      <c r="CA10" s="285">
        <v>53.9</v>
      </c>
      <c r="CB10" s="303">
        <v>53.9</v>
      </c>
      <c r="CC10" s="293">
        <v>54</v>
      </c>
      <c r="CD10" s="263">
        <v>60.1</v>
      </c>
      <c r="CE10" s="263">
        <v>61</v>
      </c>
      <c r="CF10" s="285">
        <v>61.2</v>
      </c>
      <c r="CG10" s="285">
        <v>61.5</v>
      </c>
      <c r="CH10" s="354">
        <v>61.5</v>
      </c>
      <c r="CI10" s="290">
        <v>61.7</v>
      </c>
      <c r="CJ10" s="367">
        <v>61.7</v>
      </c>
      <c r="CK10" s="263">
        <v>67.3</v>
      </c>
      <c r="CL10" s="263">
        <v>67.8</v>
      </c>
      <c r="CM10" s="285">
        <v>68.5</v>
      </c>
      <c r="CN10" s="285">
        <v>69.3</v>
      </c>
      <c r="CO10" s="354">
        <v>69.3</v>
      </c>
      <c r="CP10" s="305">
        <v>70.5</v>
      </c>
      <c r="CQ10" s="368">
        <v>70.5</v>
      </c>
      <c r="CR10" s="354">
        <v>84.2</v>
      </c>
      <c r="CS10" s="303">
        <v>86</v>
      </c>
      <c r="CT10" s="368">
        <v>86</v>
      </c>
      <c r="CU10" s="354">
        <f>960000*100/1062900</f>
        <v>90.31893875246966</v>
      </c>
      <c r="CV10" s="303">
        <f>967506*100/1026156</f>
        <v>94.28449475518342</v>
      </c>
      <c r="CW10" s="368">
        <v>93.9</v>
      </c>
      <c r="CX10" s="427">
        <f>1041866*100/1047385</f>
        <v>99.47306864238078</v>
      </c>
    </row>
    <row r="11" spans="2:102" ht="12.75">
      <c r="B11" s="13" t="s">
        <v>5</v>
      </c>
      <c r="C11" s="8"/>
      <c r="D11" s="47">
        <v>57.4</v>
      </c>
      <c r="E11" s="48">
        <v>57.3</v>
      </c>
      <c r="F11" s="72">
        <v>57.2</v>
      </c>
      <c r="G11" s="72">
        <v>57.2</v>
      </c>
      <c r="H11" s="25">
        <v>57.2</v>
      </c>
      <c r="I11" s="18">
        <v>56.8</v>
      </c>
      <c r="J11" s="54">
        <v>57.2</v>
      </c>
      <c r="K11" s="53">
        <v>57.3</v>
      </c>
      <c r="L11" s="72">
        <v>56.8</v>
      </c>
      <c r="M11" s="72">
        <v>56.8</v>
      </c>
      <c r="N11" s="25">
        <v>56.8</v>
      </c>
      <c r="O11" s="25">
        <v>56.5</v>
      </c>
      <c r="P11" s="91">
        <v>57</v>
      </c>
      <c r="Q11" s="92">
        <v>56.8</v>
      </c>
      <c r="R11" s="72">
        <v>59.1</v>
      </c>
      <c r="S11" s="72">
        <v>59</v>
      </c>
      <c r="T11" s="25">
        <v>58.6</v>
      </c>
      <c r="U11" s="25">
        <v>58.8</v>
      </c>
      <c r="V11" s="91">
        <v>59</v>
      </c>
      <c r="W11" s="91">
        <v>58.8</v>
      </c>
      <c r="X11" s="115">
        <v>58.2</v>
      </c>
      <c r="Y11" s="116">
        <v>58.2</v>
      </c>
      <c r="Z11" s="87">
        <v>63</v>
      </c>
      <c r="AA11" s="25">
        <v>63.7</v>
      </c>
      <c r="AB11" s="91">
        <v>63.9</v>
      </c>
      <c r="AC11" s="91">
        <v>63.2</v>
      </c>
      <c r="AD11" s="115">
        <v>62.4</v>
      </c>
      <c r="AE11" s="115">
        <v>62.4</v>
      </c>
      <c r="AF11" s="137">
        <v>62.4</v>
      </c>
      <c r="AG11" s="138">
        <v>62.9</v>
      </c>
      <c r="AH11" s="107">
        <v>65.6</v>
      </c>
      <c r="AI11" s="107">
        <v>65.1</v>
      </c>
      <c r="AJ11" s="130">
        <v>64.4</v>
      </c>
      <c r="AK11" s="130">
        <v>64.4</v>
      </c>
      <c r="AL11" s="154">
        <v>64.3</v>
      </c>
      <c r="AM11" s="154">
        <v>64.9</v>
      </c>
      <c r="AN11" s="177">
        <v>64.9</v>
      </c>
      <c r="AO11" s="191">
        <v>64.9</v>
      </c>
      <c r="AP11" s="130">
        <v>66.8</v>
      </c>
      <c r="AQ11" s="130">
        <v>66.6</v>
      </c>
      <c r="AR11" s="154">
        <v>66.2</v>
      </c>
      <c r="AS11" s="154">
        <v>66.7</v>
      </c>
      <c r="AT11" s="177">
        <v>66.4</v>
      </c>
      <c r="AU11" s="206">
        <v>66.4</v>
      </c>
      <c r="AV11" s="48">
        <v>66.4</v>
      </c>
      <c r="AW11" s="212">
        <v>66.4</v>
      </c>
      <c r="AX11" s="154">
        <v>63.9</v>
      </c>
      <c r="AY11" s="153">
        <v>64.2</v>
      </c>
      <c r="AZ11" s="176">
        <v>63.6</v>
      </c>
      <c r="BA11" s="176">
        <v>63.6</v>
      </c>
      <c r="BB11" s="48">
        <v>63.7</v>
      </c>
      <c r="BC11" s="48">
        <v>63.7</v>
      </c>
      <c r="BD11" s="72">
        <v>63.7</v>
      </c>
      <c r="BE11" s="231">
        <v>63.7</v>
      </c>
      <c r="BF11" s="176">
        <v>64.2</v>
      </c>
      <c r="BG11" s="184">
        <v>63.9</v>
      </c>
      <c r="BH11" s="48">
        <v>63.8</v>
      </c>
      <c r="BI11" s="48">
        <v>63.8</v>
      </c>
      <c r="BJ11" s="72">
        <v>63.8</v>
      </c>
      <c r="BK11" s="72">
        <v>63.8</v>
      </c>
      <c r="BL11" s="264">
        <v>63.9</v>
      </c>
      <c r="BM11" s="251">
        <v>64.2</v>
      </c>
      <c r="BN11" s="48">
        <v>68</v>
      </c>
      <c r="BO11" s="48">
        <v>67.4</v>
      </c>
      <c r="BP11" s="72">
        <v>67.5</v>
      </c>
      <c r="BQ11" s="72">
        <v>67.5</v>
      </c>
      <c r="BR11" s="264">
        <v>67.7</v>
      </c>
      <c r="BS11" s="264">
        <v>68.2</v>
      </c>
      <c r="BT11" s="270">
        <v>68.2</v>
      </c>
      <c r="BU11" s="270">
        <v>68.2</v>
      </c>
      <c r="BV11" s="72">
        <v>77.6</v>
      </c>
      <c r="BW11" s="72">
        <v>78.1</v>
      </c>
      <c r="BX11" s="264">
        <v>78.3</v>
      </c>
      <c r="BY11" s="264">
        <v>79</v>
      </c>
      <c r="BZ11" s="285">
        <v>79.2</v>
      </c>
      <c r="CA11" s="285">
        <v>79.2</v>
      </c>
      <c r="CB11" s="303">
        <v>79.2</v>
      </c>
      <c r="CC11" s="294">
        <v>79.2</v>
      </c>
      <c r="CD11" s="264">
        <v>81.7</v>
      </c>
      <c r="CE11" s="264">
        <v>82.3</v>
      </c>
      <c r="CF11" s="285">
        <v>82.3</v>
      </c>
      <c r="CG11" s="285">
        <v>82.3</v>
      </c>
      <c r="CH11" s="354">
        <v>82.4</v>
      </c>
      <c r="CI11" s="354">
        <v>82.4</v>
      </c>
      <c r="CJ11" s="368">
        <v>82.7</v>
      </c>
      <c r="CK11" s="264">
        <v>84.6</v>
      </c>
      <c r="CL11" s="264">
        <v>85.5</v>
      </c>
      <c r="CM11" s="285">
        <v>85.8</v>
      </c>
      <c r="CN11" s="285">
        <v>86</v>
      </c>
      <c r="CO11" s="354">
        <v>85.8</v>
      </c>
      <c r="CP11" s="303">
        <v>85.8</v>
      </c>
      <c r="CQ11" s="368">
        <v>86.2</v>
      </c>
      <c r="CR11" s="354">
        <v>90.2</v>
      </c>
      <c r="CS11" s="303">
        <v>90.2</v>
      </c>
      <c r="CT11" s="368">
        <v>90.6</v>
      </c>
      <c r="CU11" s="354">
        <f>1934596*100/2067447</f>
        <v>93.5741520822541</v>
      </c>
      <c r="CV11" s="303">
        <f>1931870*100/2068316</f>
        <v>93.40303899404152</v>
      </c>
      <c r="CW11" s="368">
        <v>93.5</v>
      </c>
      <c r="CX11" s="427">
        <f>2013353*100/2105160</f>
        <v>95.63895380873663</v>
      </c>
    </row>
    <row r="12" spans="2:102" ht="12.75">
      <c r="B12" s="13" t="s">
        <v>6</v>
      </c>
      <c r="C12" s="8"/>
      <c r="D12" s="48">
        <v>39</v>
      </c>
      <c r="E12" s="48">
        <v>39.1</v>
      </c>
      <c r="F12" s="72">
        <v>39.3</v>
      </c>
      <c r="G12" s="72">
        <v>41.1</v>
      </c>
      <c r="H12" s="25">
        <v>38.4</v>
      </c>
      <c r="I12" s="18">
        <v>38.3</v>
      </c>
      <c r="J12" s="54">
        <v>36.6</v>
      </c>
      <c r="K12" s="55">
        <v>36.4</v>
      </c>
      <c r="L12" s="72">
        <v>36.8</v>
      </c>
      <c r="M12" s="72">
        <v>37.7</v>
      </c>
      <c r="N12" s="25">
        <v>36.1</v>
      </c>
      <c r="O12" s="25">
        <v>35.9</v>
      </c>
      <c r="P12" s="91">
        <v>35.8</v>
      </c>
      <c r="Q12" s="92">
        <v>35.9</v>
      </c>
      <c r="R12" s="72">
        <v>34</v>
      </c>
      <c r="S12" s="72">
        <v>32.2</v>
      </c>
      <c r="T12" s="25">
        <v>32.3</v>
      </c>
      <c r="U12" s="25">
        <v>32.7</v>
      </c>
      <c r="V12" s="91">
        <v>32.6</v>
      </c>
      <c r="W12" s="91">
        <v>32.4</v>
      </c>
      <c r="X12" s="115">
        <v>32.1</v>
      </c>
      <c r="Y12" s="116">
        <v>32.2</v>
      </c>
      <c r="Z12" s="87">
        <v>32</v>
      </c>
      <c r="AA12" s="25">
        <v>32.1</v>
      </c>
      <c r="AB12" s="91">
        <v>32</v>
      </c>
      <c r="AC12" s="91">
        <v>31.5</v>
      </c>
      <c r="AD12" s="115">
        <v>31.1</v>
      </c>
      <c r="AE12" s="115">
        <v>31.1</v>
      </c>
      <c r="AF12" s="137">
        <v>31.2</v>
      </c>
      <c r="AG12" s="138">
        <v>31.1</v>
      </c>
      <c r="AH12" s="107">
        <v>29.9</v>
      </c>
      <c r="AI12" s="107">
        <v>29.8</v>
      </c>
      <c r="AJ12" s="130">
        <v>29.4</v>
      </c>
      <c r="AK12" s="130">
        <v>29.7</v>
      </c>
      <c r="AL12" s="154">
        <v>29.7</v>
      </c>
      <c r="AM12" s="154">
        <v>29.5</v>
      </c>
      <c r="AN12" s="177">
        <v>29.5</v>
      </c>
      <c r="AO12" s="191">
        <v>29.4</v>
      </c>
      <c r="AP12" s="130">
        <v>27.6</v>
      </c>
      <c r="AQ12" s="130">
        <v>27.4</v>
      </c>
      <c r="AR12" s="154">
        <v>27.4</v>
      </c>
      <c r="AS12" s="154">
        <v>27.4</v>
      </c>
      <c r="AT12" s="177">
        <v>27.4</v>
      </c>
      <c r="AU12" s="206">
        <v>27.3</v>
      </c>
      <c r="AV12" s="63">
        <v>27.5</v>
      </c>
      <c r="AW12" s="213">
        <v>27.6</v>
      </c>
      <c r="AX12" s="154">
        <v>24.9</v>
      </c>
      <c r="AY12" s="154">
        <v>25.1</v>
      </c>
      <c r="AZ12" s="177">
        <v>25.1</v>
      </c>
      <c r="BA12" s="177">
        <v>24.7</v>
      </c>
      <c r="BB12" s="63">
        <v>24.9</v>
      </c>
      <c r="BC12" s="63">
        <v>25</v>
      </c>
      <c r="BD12" s="229">
        <v>24.9</v>
      </c>
      <c r="BE12" s="232">
        <v>24.8</v>
      </c>
      <c r="BF12" s="177">
        <v>25.4</v>
      </c>
      <c r="BG12" s="177">
        <v>24.8</v>
      </c>
      <c r="BH12" s="63">
        <v>25</v>
      </c>
      <c r="BI12" s="63">
        <v>25.1</v>
      </c>
      <c r="BJ12" s="229">
        <v>25</v>
      </c>
      <c r="BK12" s="229">
        <v>25</v>
      </c>
      <c r="BL12" s="263">
        <v>25</v>
      </c>
      <c r="BM12" s="252">
        <v>24.9</v>
      </c>
      <c r="BN12" s="215">
        <v>43.2</v>
      </c>
      <c r="BO12" s="63">
        <v>44.1</v>
      </c>
      <c r="BP12" s="229">
        <v>43.9</v>
      </c>
      <c r="BQ12" s="229">
        <v>44.3</v>
      </c>
      <c r="BR12" s="263">
        <v>44.4</v>
      </c>
      <c r="BS12" s="263">
        <v>44.3</v>
      </c>
      <c r="BT12" s="270">
        <v>44.2</v>
      </c>
      <c r="BU12" s="270">
        <v>44.5</v>
      </c>
      <c r="BV12" s="229">
        <v>64</v>
      </c>
      <c r="BW12" s="229">
        <v>65.5</v>
      </c>
      <c r="BX12" s="263">
        <v>65.6</v>
      </c>
      <c r="BY12" s="263">
        <v>65.2</v>
      </c>
      <c r="BZ12" s="285">
        <v>65.1</v>
      </c>
      <c r="CA12" s="285">
        <v>64.9</v>
      </c>
      <c r="CB12" s="305">
        <v>64.8</v>
      </c>
      <c r="CC12" s="293">
        <v>64.4</v>
      </c>
      <c r="CD12" s="263">
        <v>96.2</v>
      </c>
      <c r="CE12" s="263">
        <v>94.9</v>
      </c>
      <c r="CF12" s="285">
        <v>92.5</v>
      </c>
      <c r="CG12" s="285">
        <v>92.2</v>
      </c>
      <c r="CH12" s="290">
        <v>92.1</v>
      </c>
      <c r="CI12" s="290">
        <v>91.2</v>
      </c>
      <c r="CJ12" s="367">
        <v>91.2</v>
      </c>
      <c r="CK12" s="263">
        <v>102.2</v>
      </c>
      <c r="CL12" s="263">
        <v>109.9</v>
      </c>
      <c r="CM12" s="285">
        <v>108.2</v>
      </c>
      <c r="CN12" s="285">
        <v>106.4</v>
      </c>
      <c r="CO12" s="354">
        <v>106.4</v>
      </c>
      <c r="CP12" s="305">
        <v>104.1</v>
      </c>
      <c r="CQ12" s="368">
        <v>104.1</v>
      </c>
      <c r="CR12" s="354">
        <v>117.6</v>
      </c>
      <c r="CS12" s="303">
        <v>117.4</v>
      </c>
      <c r="CT12" s="368">
        <v>117.4</v>
      </c>
      <c r="CU12" s="354">
        <f>207000*100/167900</f>
        <v>123.28767123287672</v>
      </c>
      <c r="CV12" s="303">
        <f>205890*100/165875</f>
        <v>124.12358703843256</v>
      </c>
      <c r="CW12" s="368">
        <v>123.7</v>
      </c>
      <c r="CX12" s="427">
        <f>204375*100/168385</f>
        <v>121.37363779434035</v>
      </c>
    </row>
    <row r="13" spans="2:102" ht="12.75">
      <c r="B13" s="13" t="s">
        <v>7</v>
      </c>
      <c r="C13" s="8"/>
      <c r="D13" s="47">
        <v>110.6</v>
      </c>
      <c r="E13" s="48">
        <v>110.5</v>
      </c>
      <c r="F13" s="72">
        <v>110.6</v>
      </c>
      <c r="G13" s="72">
        <v>110.6</v>
      </c>
      <c r="H13" s="25">
        <v>111.2</v>
      </c>
      <c r="I13" s="18">
        <v>111.2</v>
      </c>
      <c r="J13" s="54">
        <v>109.4</v>
      </c>
      <c r="K13" s="53">
        <v>109.8</v>
      </c>
      <c r="L13" s="72">
        <v>109.5</v>
      </c>
      <c r="M13" s="72">
        <v>109.5</v>
      </c>
      <c r="N13" s="25">
        <v>110.6</v>
      </c>
      <c r="O13" s="25">
        <v>110.6</v>
      </c>
      <c r="P13" s="91">
        <v>110.7</v>
      </c>
      <c r="Q13" s="92">
        <v>110.9</v>
      </c>
      <c r="R13" s="72">
        <v>106.7</v>
      </c>
      <c r="S13" s="72">
        <v>106.7</v>
      </c>
      <c r="T13" s="25">
        <v>108</v>
      </c>
      <c r="U13" s="25">
        <v>107.9</v>
      </c>
      <c r="V13" s="91">
        <v>108</v>
      </c>
      <c r="W13" s="91">
        <v>108.3</v>
      </c>
      <c r="X13" s="115">
        <v>105.5</v>
      </c>
      <c r="Y13" s="116">
        <v>105.6</v>
      </c>
      <c r="Z13" s="87">
        <v>106.2</v>
      </c>
      <c r="AA13" s="25">
        <v>106.2</v>
      </c>
      <c r="AB13" s="91">
        <v>106.3</v>
      </c>
      <c r="AC13" s="91">
        <v>106.8</v>
      </c>
      <c r="AD13" s="115">
        <v>104.2</v>
      </c>
      <c r="AE13" s="115">
        <v>104.3</v>
      </c>
      <c r="AF13" s="137">
        <v>104.3</v>
      </c>
      <c r="AG13" s="138">
        <v>104.3</v>
      </c>
      <c r="AH13" s="107">
        <v>105.8</v>
      </c>
      <c r="AI13" s="107">
        <v>106.5</v>
      </c>
      <c r="AJ13" s="130">
        <v>103.8</v>
      </c>
      <c r="AK13" s="130">
        <v>103.9</v>
      </c>
      <c r="AL13" s="154">
        <v>103.8</v>
      </c>
      <c r="AM13" s="154">
        <v>103.8</v>
      </c>
      <c r="AN13" s="177">
        <v>103.8</v>
      </c>
      <c r="AO13" s="191">
        <v>103.8</v>
      </c>
      <c r="AP13" s="130">
        <v>106.4</v>
      </c>
      <c r="AQ13" s="130">
        <v>106.6</v>
      </c>
      <c r="AR13" s="154">
        <v>106.2</v>
      </c>
      <c r="AS13" s="154">
        <v>106.2</v>
      </c>
      <c r="AT13" s="177">
        <v>105.8</v>
      </c>
      <c r="AU13" s="206">
        <v>105.9</v>
      </c>
      <c r="AV13" s="48">
        <v>105.8</v>
      </c>
      <c r="AW13" s="212">
        <v>105.8</v>
      </c>
      <c r="AX13" s="154">
        <v>106.8</v>
      </c>
      <c r="AY13" s="154">
        <v>106.8</v>
      </c>
      <c r="AZ13" s="176">
        <v>106.5</v>
      </c>
      <c r="BA13" s="176">
        <v>106.9</v>
      </c>
      <c r="BB13" s="48">
        <v>106.5</v>
      </c>
      <c r="BC13" s="48">
        <v>106.5</v>
      </c>
      <c r="BD13" s="72">
        <v>106.5</v>
      </c>
      <c r="BE13" s="231">
        <v>106.6</v>
      </c>
      <c r="BF13" s="176">
        <v>104</v>
      </c>
      <c r="BG13" s="184">
        <v>104.1</v>
      </c>
      <c r="BH13" s="48">
        <v>103.5</v>
      </c>
      <c r="BI13" s="48">
        <v>103.5</v>
      </c>
      <c r="BJ13" s="72">
        <v>103.5</v>
      </c>
      <c r="BK13" s="72">
        <v>103.6</v>
      </c>
      <c r="BL13" s="264">
        <v>103.6</v>
      </c>
      <c r="BM13" s="251">
        <v>103.1</v>
      </c>
      <c r="BN13" s="48">
        <v>105.8</v>
      </c>
      <c r="BO13" s="48">
        <v>105.8</v>
      </c>
      <c r="BP13" s="72">
        <v>106.1</v>
      </c>
      <c r="BQ13" s="72">
        <v>106.3</v>
      </c>
      <c r="BR13" s="264">
        <v>106.3</v>
      </c>
      <c r="BS13" s="264">
        <v>105.8</v>
      </c>
      <c r="BT13" s="270">
        <v>105.7</v>
      </c>
      <c r="BU13" s="270">
        <v>106.1</v>
      </c>
      <c r="BV13" s="72">
        <v>115.8</v>
      </c>
      <c r="BW13" s="72">
        <v>116</v>
      </c>
      <c r="BX13" s="264">
        <v>116.1</v>
      </c>
      <c r="BY13" s="264">
        <v>115.5</v>
      </c>
      <c r="BZ13" s="285">
        <v>116</v>
      </c>
      <c r="CA13" s="285">
        <v>116.4</v>
      </c>
      <c r="CB13" s="303">
        <v>116.4</v>
      </c>
      <c r="CC13" s="294">
        <v>116.4</v>
      </c>
      <c r="CD13" s="264">
        <v>119</v>
      </c>
      <c r="CE13" s="264">
        <v>118.4</v>
      </c>
      <c r="CF13" s="285">
        <v>118.6</v>
      </c>
      <c r="CG13" s="285">
        <v>119.2</v>
      </c>
      <c r="CH13" s="354">
        <v>119.3</v>
      </c>
      <c r="CI13" s="354">
        <v>119.3</v>
      </c>
      <c r="CJ13" s="368">
        <v>119.3</v>
      </c>
      <c r="CK13" s="264">
        <v>120</v>
      </c>
      <c r="CL13" s="264">
        <v>120.6</v>
      </c>
      <c r="CM13" s="285">
        <v>120.1</v>
      </c>
      <c r="CN13" s="285">
        <v>120.7</v>
      </c>
      <c r="CO13" s="354">
        <v>120.8</v>
      </c>
      <c r="CP13" s="303">
        <v>120.7</v>
      </c>
      <c r="CQ13" s="368">
        <v>120.7</v>
      </c>
      <c r="CR13" s="354">
        <v>127</v>
      </c>
      <c r="CS13" s="303">
        <v>127</v>
      </c>
      <c r="CT13" s="368">
        <v>127</v>
      </c>
      <c r="CU13" s="354">
        <f>2051352*100/1573233</f>
        <v>130.3908575525685</v>
      </c>
      <c r="CV13" s="303">
        <f>2069470*100/1557307</f>
        <v>132.88773504517735</v>
      </c>
      <c r="CW13" s="368">
        <v>132.6</v>
      </c>
      <c r="CX13" s="427">
        <f>2141454*100/1587053</f>
        <v>134.93273381544284</v>
      </c>
    </row>
    <row r="14" spans="2:102" ht="12.75">
      <c r="B14" s="13" t="s">
        <v>8</v>
      </c>
      <c r="C14" s="8"/>
      <c r="D14" s="47">
        <v>5.6</v>
      </c>
      <c r="E14" s="48">
        <v>5.6</v>
      </c>
      <c r="F14" s="72">
        <v>5.6</v>
      </c>
      <c r="G14" s="72">
        <v>5.5</v>
      </c>
      <c r="H14" s="25">
        <v>5.5</v>
      </c>
      <c r="I14" s="18">
        <v>5.5</v>
      </c>
      <c r="J14" s="54">
        <v>5.5</v>
      </c>
      <c r="K14" s="55">
        <v>5.6</v>
      </c>
      <c r="L14" s="72">
        <v>5.6</v>
      </c>
      <c r="M14" s="72">
        <v>5.5</v>
      </c>
      <c r="N14" s="25">
        <v>5.5</v>
      </c>
      <c r="O14" s="25">
        <v>5.5</v>
      </c>
      <c r="P14" s="91">
        <v>7.2</v>
      </c>
      <c r="Q14" s="92">
        <v>6.7</v>
      </c>
      <c r="R14" s="72">
        <v>5.7</v>
      </c>
      <c r="S14" s="72">
        <v>5.7</v>
      </c>
      <c r="T14" s="25">
        <v>5.7</v>
      </c>
      <c r="U14" s="25">
        <v>5.7</v>
      </c>
      <c r="V14" s="91">
        <v>7.5</v>
      </c>
      <c r="W14" s="91">
        <v>6.8</v>
      </c>
      <c r="X14" s="115">
        <v>6.5</v>
      </c>
      <c r="Y14" s="116">
        <v>6.5</v>
      </c>
      <c r="Z14" s="87">
        <v>4.9</v>
      </c>
      <c r="AA14" s="25">
        <v>5.4</v>
      </c>
      <c r="AB14" s="91">
        <v>7.1</v>
      </c>
      <c r="AC14" s="91">
        <v>6.7</v>
      </c>
      <c r="AD14" s="115">
        <v>6.3</v>
      </c>
      <c r="AE14" s="115">
        <v>6.3</v>
      </c>
      <c r="AF14" s="137">
        <v>6.3</v>
      </c>
      <c r="AG14" s="138">
        <v>6.3</v>
      </c>
      <c r="AH14" s="107">
        <v>7.5</v>
      </c>
      <c r="AI14" s="107">
        <v>6.6</v>
      </c>
      <c r="AJ14" s="130">
        <v>6.6</v>
      </c>
      <c r="AK14" s="130">
        <v>6.6</v>
      </c>
      <c r="AL14" s="154">
        <v>6.6</v>
      </c>
      <c r="AM14" s="154">
        <v>6.4</v>
      </c>
      <c r="AN14" s="177">
        <v>6.3</v>
      </c>
      <c r="AO14" s="191">
        <v>6.3</v>
      </c>
      <c r="AP14" s="130">
        <v>6.2</v>
      </c>
      <c r="AQ14" s="130">
        <v>6</v>
      </c>
      <c r="AR14" s="154">
        <v>6.1</v>
      </c>
      <c r="AS14" s="154">
        <v>6.2</v>
      </c>
      <c r="AT14" s="177">
        <v>6.1</v>
      </c>
      <c r="AU14" s="206">
        <v>6.1</v>
      </c>
      <c r="AV14" s="63">
        <v>6.1</v>
      </c>
      <c r="AW14" s="213">
        <v>6.1</v>
      </c>
      <c r="AX14" s="154">
        <v>6.8</v>
      </c>
      <c r="AY14" s="154">
        <v>6.6</v>
      </c>
      <c r="AZ14" s="177">
        <v>6.6</v>
      </c>
      <c r="BA14" s="177">
        <v>6.6</v>
      </c>
      <c r="BB14" s="63">
        <v>6.7</v>
      </c>
      <c r="BC14" s="63">
        <v>6.6</v>
      </c>
      <c r="BD14" s="229">
        <v>6.5</v>
      </c>
      <c r="BE14" s="232">
        <v>6.7</v>
      </c>
      <c r="BF14" s="178">
        <v>6.8</v>
      </c>
      <c r="BG14" s="177">
        <v>7</v>
      </c>
      <c r="BH14" s="63">
        <v>6.9</v>
      </c>
      <c r="BI14" s="63">
        <v>6.6</v>
      </c>
      <c r="BJ14" s="229">
        <v>6.7</v>
      </c>
      <c r="BK14" s="229">
        <v>6.7</v>
      </c>
      <c r="BL14" s="263">
        <v>6.7</v>
      </c>
      <c r="BM14" s="252">
        <v>6.7</v>
      </c>
      <c r="BN14" s="215">
        <v>14.7</v>
      </c>
      <c r="BO14" s="63">
        <v>13.5</v>
      </c>
      <c r="BP14" s="229">
        <v>13.7</v>
      </c>
      <c r="BQ14" s="229">
        <v>13.6</v>
      </c>
      <c r="BR14" s="263">
        <v>13.6</v>
      </c>
      <c r="BS14" s="263">
        <v>13.7</v>
      </c>
      <c r="BT14" s="270">
        <v>13.7</v>
      </c>
      <c r="BU14" s="270">
        <v>14.4</v>
      </c>
      <c r="BV14" s="229">
        <v>14.5</v>
      </c>
      <c r="BW14" s="229">
        <v>14.5</v>
      </c>
      <c r="BX14" s="263">
        <v>14.6</v>
      </c>
      <c r="BY14" s="263">
        <v>14.8</v>
      </c>
      <c r="BZ14" s="285">
        <v>14.8</v>
      </c>
      <c r="CA14" s="285">
        <v>15.3</v>
      </c>
      <c r="CB14" s="305">
        <v>15.3</v>
      </c>
      <c r="CC14" s="293">
        <v>15.5</v>
      </c>
      <c r="CD14" s="263">
        <v>18.4</v>
      </c>
      <c r="CE14" s="263">
        <v>19.1</v>
      </c>
      <c r="CF14" s="285">
        <v>19.1</v>
      </c>
      <c r="CG14" s="285">
        <v>19.2</v>
      </c>
      <c r="CH14" s="290">
        <v>19.2</v>
      </c>
      <c r="CI14" s="290">
        <v>19.5</v>
      </c>
      <c r="CJ14" s="367">
        <v>19.5</v>
      </c>
      <c r="CK14" s="263">
        <v>17.7</v>
      </c>
      <c r="CL14" s="263">
        <v>18.2</v>
      </c>
      <c r="CM14" s="285">
        <v>18.2</v>
      </c>
      <c r="CN14" s="285">
        <v>18.3</v>
      </c>
      <c r="CO14" s="354">
        <v>18.3</v>
      </c>
      <c r="CP14" s="305">
        <v>18.7</v>
      </c>
      <c r="CQ14" s="368">
        <v>18.7</v>
      </c>
      <c r="CR14" s="354">
        <v>20.8</v>
      </c>
      <c r="CS14" s="303">
        <v>21.7</v>
      </c>
      <c r="CT14" s="368">
        <v>21.7</v>
      </c>
      <c r="CU14" s="354">
        <f>10903*100/45554</f>
        <v>23.934231900601485</v>
      </c>
      <c r="CV14" s="303">
        <f>11046*100/44274</f>
        <v>24.94918010570538</v>
      </c>
      <c r="CW14" s="368">
        <v>23.1</v>
      </c>
      <c r="CX14" s="427">
        <f>11628*100/48802</f>
        <v>23.826892340477848</v>
      </c>
    </row>
    <row r="15" spans="2:102" ht="12.75">
      <c r="B15" s="13" t="s">
        <v>9</v>
      </c>
      <c r="C15" s="8"/>
      <c r="D15" s="48">
        <v>56</v>
      </c>
      <c r="E15" s="48">
        <v>55.8</v>
      </c>
      <c r="F15" s="72">
        <v>55.8</v>
      </c>
      <c r="G15" s="72">
        <v>55.9</v>
      </c>
      <c r="H15" s="25">
        <v>55.9</v>
      </c>
      <c r="I15" s="18">
        <v>55.9</v>
      </c>
      <c r="J15" s="54">
        <v>53.2</v>
      </c>
      <c r="K15" s="53">
        <v>52.8</v>
      </c>
      <c r="L15" s="72">
        <v>52.8</v>
      </c>
      <c r="M15" s="72">
        <v>52.9</v>
      </c>
      <c r="N15" s="25">
        <v>52.9</v>
      </c>
      <c r="O15" s="25">
        <v>52.9</v>
      </c>
      <c r="P15" s="91">
        <v>52.9</v>
      </c>
      <c r="Q15" s="92">
        <v>51.5</v>
      </c>
      <c r="R15" s="72">
        <v>52.6</v>
      </c>
      <c r="S15" s="72">
        <v>52.4</v>
      </c>
      <c r="T15" s="25">
        <v>52.6</v>
      </c>
      <c r="U15" s="25">
        <v>52.6</v>
      </c>
      <c r="V15" s="91">
        <v>52.6</v>
      </c>
      <c r="W15" s="91">
        <v>51.3</v>
      </c>
      <c r="X15" s="115">
        <v>50.5</v>
      </c>
      <c r="Y15" s="116">
        <v>50.5</v>
      </c>
      <c r="Z15" s="87">
        <v>54.8</v>
      </c>
      <c r="AA15" s="25">
        <v>54.1</v>
      </c>
      <c r="AB15" s="91">
        <v>54.3</v>
      </c>
      <c r="AC15" s="91">
        <v>52.6</v>
      </c>
      <c r="AD15" s="115">
        <v>51.9</v>
      </c>
      <c r="AE15" s="115">
        <v>52</v>
      </c>
      <c r="AF15" s="137">
        <v>52</v>
      </c>
      <c r="AG15" s="138">
        <v>52</v>
      </c>
      <c r="AH15" s="108">
        <v>55.7</v>
      </c>
      <c r="AI15" s="108">
        <v>53.1</v>
      </c>
      <c r="AJ15" s="131">
        <v>52.6</v>
      </c>
      <c r="AK15" s="131">
        <v>52.6</v>
      </c>
      <c r="AL15" s="154">
        <v>52.6</v>
      </c>
      <c r="AM15" s="154">
        <v>52.4</v>
      </c>
      <c r="AN15" s="178">
        <v>52.4</v>
      </c>
      <c r="AO15" s="192">
        <v>52.4</v>
      </c>
      <c r="AP15" s="131">
        <v>52.9</v>
      </c>
      <c r="AQ15" s="131">
        <v>52.7</v>
      </c>
      <c r="AR15" s="160">
        <v>52.7</v>
      </c>
      <c r="AS15" s="154">
        <v>52.3</v>
      </c>
      <c r="AT15" s="178">
        <v>52.3</v>
      </c>
      <c r="AU15" s="208">
        <v>51.8</v>
      </c>
      <c r="AV15" s="48">
        <v>51.8</v>
      </c>
      <c r="AW15" s="212">
        <v>51.8</v>
      </c>
      <c r="AX15" s="160">
        <v>48.7</v>
      </c>
      <c r="AY15" s="154">
        <v>47.9</v>
      </c>
      <c r="AZ15" s="176">
        <v>47.9</v>
      </c>
      <c r="BA15" s="176">
        <v>47.4</v>
      </c>
      <c r="BB15" s="48">
        <v>47.4</v>
      </c>
      <c r="BC15" s="48">
        <v>47.4</v>
      </c>
      <c r="BD15" s="72">
        <v>47.4</v>
      </c>
      <c r="BE15" s="231">
        <v>47.4</v>
      </c>
      <c r="BF15" s="177">
        <v>45.4</v>
      </c>
      <c r="BG15" s="184">
        <v>45.7</v>
      </c>
      <c r="BH15" s="48">
        <v>45.6</v>
      </c>
      <c r="BI15" s="48">
        <v>45.5</v>
      </c>
      <c r="BJ15" s="72">
        <v>45.5</v>
      </c>
      <c r="BK15" s="72">
        <v>45.3</v>
      </c>
      <c r="BL15" s="264">
        <v>45.3</v>
      </c>
      <c r="BM15" s="251">
        <v>45.3</v>
      </c>
      <c r="BN15" s="48">
        <v>58.2</v>
      </c>
      <c r="BO15" s="48">
        <v>58.2</v>
      </c>
      <c r="BP15" s="72">
        <v>58.2</v>
      </c>
      <c r="BQ15" s="72">
        <v>58.2</v>
      </c>
      <c r="BR15" s="264">
        <v>58.2</v>
      </c>
      <c r="BS15" s="264">
        <v>58.5</v>
      </c>
      <c r="BT15" s="270">
        <v>58.5</v>
      </c>
      <c r="BU15" s="270">
        <v>58.5</v>
      </c>
      <c r="BV15" s="72">
        <v>60.9</v>
      </c>
      <c r="BW15" s="72">
        <v>60.8</v>
      </c>
      <c r="BX15" s="264">
        <v>60.8</v>
      </c>
      <c r="BY15" s="264">
        <v>60.8</v>
      </c>
      <c r="BZ15" s="285">
        <v>60.8</v>
      </c>
      <c r="CA15" s="285">
        <v>60.8</v>
      </c>
      <c r="CB15" s="303">
        <v>60.8</v>
      </c>
      <c r="CC15" s="294">
        <v>60.8</v>
      </c>
      <c r="CD15" s="264">
        <v>62.7</v>
      </c>
      <c r="CE15" s="264">
        <v>62.9</v>
      </c>
      <c r="CF15" s="285">
        <v>62.9</v>
      </c>
      <c r="CG15" s="285">
        <v>63.1</v>
      </c>
      <c r="CH15" s="354">
        <v>63.1</v>
      </c>
      <c r="CI15" s="354">
        <v>63.4</v>
      </c>
      <c r="CJ15" s="368">
        <v>63.4</v>
      </c>
      <c r="CK15" s="264">
        <v>64.5</v>
      </c>
      <c r="CL15" s="264">
        <v>64.7</v>
      </c>
      <c r="CM15" s="285">
        <v>65.2</v>
      </c>
      <c r="CN15" s="285">
        <v>65.5</v>
      </c>
      <c r="CO15" s="354">
        <v>65.5</v>
      </c>
      <c r="CP15" s="303">
        <v>65.7</v>
      </c>
      <c r="CQ15" s="368">
        <v>65.7</v>
      </c>
      <c r="CR15" s="354">
        <v>71.2</v>
      </c>
      <c r="CS15" s="303">
        <v>71.3</v>
      </c>
      <c r="CT15" s="368">
        <v>71.3</v>
      </c>
      <c r="CU15" s="354">
        <f>451281*100/610020</f>
        <v>73.97806629290842</v>
      </c>
      <c r="CV15" s="303">
        <f>451281*100/601553</f>
        <v>75.01932498050878</v>
      </c>
      <c r="CW15" s="368">
        <v>73.5</v>
      </c>
      <c r="CX15" s="427">
        <f>459553*100/615440</f>
        <v>74.6706421422072</v>
      </c>
    </row>
    <row r="16" spans="2:102" ht="12.75">
      <c r="B16" s="13" t="s">
        <v>10</v>
      </c>
      <c r="C16" s="8"/>
      <c r="D16" s="48">
        <v>63.6</v>
      </c>
      <c r="E16" s="48">
        <v>63.6</v>
      </c>
      <c r="F16" s="72">
        <v>66.8</v>
      </c>
      <c r="G16" s="72">
        <v>66.8</v>
      </c>
      <c r="H16" s="25">
        <v>67</v>
      </c>
      <c r="I16" s="18">
        <v>67</v>
      </c>
      <c r="J16" s="54">
        <v>61.7</v>
      </c>
      <c r="K16" s="55">
        <v>63.2</v>
      </c>
      <c r="L16" s="72">
        <v>67.3</v>
      </c>
      <c r="M16" s="72">
        <v>67.3</v>
      </c>
      <c r="N16" s="25">
        <v>67.1</v>
      </c>
      <c r="O16" s="25">
        <v>67.1</v>
      </c>
      <c r="P16" s="91">
        <v>67.1</v>
      </c>
      <c r="Q16" s="92">
        <v>67</v>
      </c>
      <c r="R16" s="72">
        <v>67.9</v>
      </c>
      <c r="S16" s="72">
        <v>67.3</v>
      </c>
      <c r="T16" s="25">
        <v>66.6</v>
      </c>
      <c r="U16" s="25">
        <v>66.6</v>
      </c>
      <c r="V16" s="91">
        <v>66.7</v>
      </c>
      <c r="W16" s="91">
        <v>66.7</v>
      </c>
      <c r="X16" s="115">
        <v>66</v>
      </c>
      <c r="Y16" s="116">
        <v>65.8</v>
      </c>
      <c r="Z16" s="87">
        <v>65</v>
      </c>
      <c r="AA16" s="25">
        <v>65.1</v>
      </c>
      <c r="AB16" s="91">
        <v>65.4</v>
      </c>
      <c r="AC16" s="91">
        <v>65.1</v>
      </c>
      <c r="AD16" s="115">
        <v>64.4</v>
      </c>
      <c r="AE16" s="115">
        <v>64.6</v>
      </c>
      <c r="AF16" s="137">
        <v>64.6</v>
      </c>
      <c r="AG16" s="138">
        <v>64.6</v>
      </c>
      <c r="AH16" s="107">
        <v>65.2</v>
      </c>
      <c r="AI16" s="107">
        <v>64.3</v>
      </c>
      <c r="AJ16" s="130">
        <v>63.6</v>
      </c>
      <c r="AK16" s="130">
        <v>63.8</v>
      </c>
      <c r="AL16" s="154">
        <v>63.9</v>
      </c>
      <c r="AM16" s="154">
        <v>63.8</v>
      </c>
      <c r="AN16" s="177">
        <v>63.8</v>
      </c>
      <c r="AO16" s="191">
        <v>64.8</v>
      </c>
      <c r="AP16" s="130">
        <v>62.9</v>
      </c>
      <c r="AQ16" s="130">
        <v>63.4</v>
      </c>
      <c r="AR16" s="154">
        <v>63.5</v>
      </c>
      <c r="AS16" s="154">
        <v>63.4</v>
      </c>
      <c r="AT16" s="177">
        <v>63.5</v>
      </c>
      <c r="AU16" s="206">
        <v>63.7</v>
      </c>
      <c r="AV16" s="48">
        <v>63.7</v>
      </c>
      <c r="AW16" s="212">
        <v>63.9</v>
      </c>
      <c r="AX16" s="154">
        <v>62.2</v>
      </c>
      <c r="AY16" s="154">
        <v>61.7</v>
      </c>
      <c r="AZ16" s="177">
        <v>61.8</v>
      </c>
      <c r="BA16" s="177">
        <v>62</v>
      </c>
      <c r="BB16" s="63">
        <v>62</v>
      </c>
      <c r="BC16" s="63">
        <v>62.2</v>
      </c>
      <c r="BD16" s="229">
        <v>62.2</v>
      </c>
      <c r="BE16" s="232">
        <v>62.1</v>
      </c>
      <c r="BF16" s="179">
        <v>59.1</v>
      </c>
      <c r="BG16" s="177">
        <v>59.5</v>
      </c>
      <c r="BH16" s="63">
        <v>59.4</v>
      </c>
      <c r="BI16" s="63">
        <v>59.5</v>
      </c>
      <c r="BJ16" s="229">
        <v>59.5</v>
      </c>
      <c r="BK16" s="229">
        <v>59.3</v>
      </c>
      <c r="BL16" s="264">
        <v>60.7</v>
      </c>
      <c r="BM16" s="252">
        <v>60.2</v>
      </c>
      <c r="BN16" s="215">
        <v>62.5</v>
      </c>
      <c r="BO16" s="63">
        <v>62.6</v>
      </c>
      <c r="BP16" s="229">
        <v>62.6</v>
      </c>
      <c r="BQ16" s="229">
        <v>62.5</v>
      </c>
      <c r="BR16" s="263">
        <v>63.8</v>
      </c>
      <c r="BS16" s="263">
        <v>63.8</v>
      </c>
      <c r="BT16" s="270">
        <v>63.8</v>
      </c>
      <c r="BU16" s="270">
        <v>63.8</v>
      </c>
      <c r="BV16" s="229">
        <v>66.5</v>
      </c>
      <c r="BW16" s="229">
        <v>67.5</v>
      </c>
      <c r="BX16" s="263">
        <v>69.6</v>
      </c>
      <c r="BY16" s="263">
        <v>69.5</v>
      </c>
      <c r="BZ16" s="285">
        <v>69.5</v>
      </c>
      <c r="CA16" s="285">
        <v>69.2</v>
      </c>
      <c r="CB16" s="305">
        <v>69.2</v>
      </c>
      <c r="CC16" s="293">
        <v>69.2</v>
      </c>
      <c r="CD16" s="263">
        <v>72.3</v>
      </c>
      <c r="CE16" s="263">
        <v>71.8</v>
      </c>
      <c r="CF16" s="285">
        <v>71.9</v>
      </c>
      <c r="CG16" s="285">
        <v>72</v>
      </c>
      <c r="CH16" s="290">
        <v>72</v>
      </c>
      <c r="CI16" s="290">
        <v>72.3</v>
      </c>
      <c r="CJ16" s="367">
        <v>72.5</v>
      </c>
      <c r="CK16" s="263">
        <v>73.6</v>
      </c>
      <c r="CL16" s="263">
        <v>72.4</v>
      </c>
      <c r="CM16" s="285">
        <v>72.2</v>
      </c>
      <c r="CN16" s="285">
        <v>72.4</v>
      </c>
      <c r="CO16" s="354">
        <v>72.5</v>
      </c>
      <c r="CP16" s="305">
        <v>72.8</v>
      </c>
      <c r="CQ16" s="368">
        <v>73.1</v>
      </c>
      <c r="CR16" s="354">
        <v>73.4</v>
      </c>
      <c r="CS16" s="303">
        <v>74</v>
      </c>
      <c r="CT16" s="368">
        <v>74.4</v>
      </c>
      <c r="CU16" s="354">
        <f>234987*100/319145</f>
        <v>73.63016810540664</v>
      </c>
      <c r="CV16" s="303">
        <f>235000*100/314900</f>
        <v>74.6268656716418</v>
      </c>
      <c r="CW16" s="368">
        <v>74.5</v>
      </c>
      <c r="CX16" s="427">
        <f>256800*100/324142</f>
        <v>79.22453739410506</v>
      </c>
    </row>
    <row r="17" spans="2:102" ht="12.75">
      <c r="B17" s="13" t="s">
        <v>11</v>
      </c>
      <c r="C17" s="8"/>
      <c r="D17" s="48">
        <v>53.4</v>
      </c>
      <c r="E17" s="48">
        <v>53.3</v>
      </c>
      <c r="F17" s="72">
        <v>53.3</v>
      </c>
      <c r="G17" s="72">
        <v>53.3</v>
      </c>
      <c r="H17" s="25">
        <v>53.3</v>
      </c>
      <c r="I17" s="18">
        <v>53.3</v>
      </c>
      <c r="J17" s="54">
        <v>55.6</v>
      </c>
      <c r="K17" s="53">
        <v>55.5</v>
      </c>
      <c r="L17" s="72">
        <v>55.6</v>
      </c>
      <c r="M17" s="72">
        <v>55.5</v>
      </c>
      <c r="N17" s="25">
        <v>55.6</v>
      </c>
      <c r="O17" s="25">
        <v>55.8</v>
      </c>
      <c r="P17" s="91">
        <v>55.9</v>
      </c>
      <c r="Q17" s="92">
        <v>53.6</v>
      </c>
      <c r="R17" s="72">
        <v>58</v>
      </c>
      <c r="S17" s="72">
        <v>58.1</v>
      </c>
      <c r="T17" s="25">
        <v>58.1</v>
      </c>
      <c r="U17" s="25">
        <v>58.4</v>
      </c>
      <c r="V17" s="91">
        <v>58.5</v>
      </c>
      <c r="W17" s="91">
        <v>56.1</v>
      </c>
      <c r="X17" s="115">
        <v>55.5</v>
      </c>
      <c r="Y17" s="116">
        <v>55.5</v>
      </c>
      <c r="Z17" s="87">
        <v>59.4</v>
      </c>
      <c r="AA17" s="25">
        <v>60.3</v>
      </c>
      <c r="AB17" s="91">
        <v>60.1</v>
      </c>
      <c r="AC17" s="91">
        <v>57.7</v>
      </c>
      <c r="AD17" s="115">
        <v>57</v>
      </c>
      <c r="AE17" s="115">
        <v>57</v>
      </c>
      <c r="AF17" s="137">
        <v>56.8</v>
      </c>
      <c r="AG17" s="138">
        <v>56.9</v>
      </c>
      <c r="AH17" s="106">
        <v>61.9</v>
      </c>
      <c r="AI17" s="106">
        <v>59.4</v>
      </c>
      <c r="AJ17" s="129">
        <v>58.7</v>
      </c>
      <c r="AK17" s="129">
        <v>58.6</v>
      </c>
      <c r="AL17" s="154">
        <v>58.2</v>
      </c>
      <c r="AM17" s="154">
        <v>58.3</v>
      </c>
      <c r="AN17" s="179">
        <v>58.3</v>
      </c>
      <c r="AO17" s="190">
        <v>58.3</v>
      </c>
      <c r="AP17" s="129">
        <v>63.9</v>
      </c>
      <c r="AQ17" s="129">
        <v>64</v>
      </c>
      <c r="AR17" s="152">
        <v>63.6</v>
      </c>
      <c r="AS17" s="154">
        <v>63.7</v>
      </c>
      <c r="AT17" s="179">
        <v>63.6</v>
      </c>
      <c r="AU17" s="207">
        <v>63.6</v>
      </c>
      <c r="AV17" s="48">
        <v>63.6</v>
      </c>
      <c r="AW17" s="228">
        <v>63.6</v>
      </c>
      <c r="AX17" s="152">
        <v>64.7</v>
      </c>
      <c r="AY17" s="154">
        <v>64.8</v>
      </c>
      <c r="AZ17" s="176">
        <v>64.7</v>
      </c>
      <c r="BA17" s="176">
        <v>64.7</v>
      </c>
      <c r="BB17" s="48">
        <v>64.7</v>
      </c>
      <c r="BC17" s="48">
        <v>64.7</v>
      </c>
      <c r="BD17" s="72">
        <v>64.7</v>
      </c>
      <c r="BE17" s="231">
        <v>63.9</v>
      </c>
      <c r="BF17" s="176">
        <v>63.6</v>
      </c>
      <c r="BG17" s="184">
        <v>63.6</v>
      </c>
      <c r="BH17" s="48">
        <v>63.5</v>
      </c>
      <c r="BI17" s="48">
        <v>63.6</v>
      </c>
      <c r="BJ17" s="72">
        <v>63.6</v>
      </c>
      <c r="BK17" s="72">
        <v>62.7</v>
      </c>
      <c r="BL17" s="264">
        <v>68.3</v>
      </c>
      <c r="BM17" s="251">
        <v>68.3</v>
      </c>
      <c r="BN17" s="48">
        <v>66.4</v>
      </c>
      <c r="BO17" s="48">
        <v>66.3</v>
      </c>
      <c r="BP17" s="72">
        <v>66.3</v>
      </c>
      <c r="BQ17" s="72">
        <v>65.3</v>
      </c>
      <c r="BR17" s="264">
        <v>71.6</v>
      </c>
      <c r="BS17" s="264">
        <v>71.6</v>
      </c>
      <c r="BT17" s="270">
        <v>71.6</v>
      </c>
      <c r="BU17" s="270">
        <v>71.7</v>
      </c>
      <c r="BV17" s="72">
        <v>76.8</v>
      </c>
      <c r="BW17" s="72">
        <v>76.1</v>
      </c>
      <c r="BX17" s="264">
        <v>83</v>
      </c>
      <c r="BY17" s="264">
        <v>83</v>
      </c>
      <c r="BZ17" s="285">
        <v>83.1</v>
      </c>
      <c r="CA17" s="285">
        <v>83.2</v>
      </c>
      <c r="CB17" s="303">
        <v>83.7</v>
      </c>
      <c r="CC17" s="294">
        <v>83.7</v>
      </c>
      <c r="CD17" s="264">
        <v>93</v>
      </c>
      <c r="CE17" s="264">
        <v>93.3</v>
      </c>
      <c r="CF17" s="285">
        <v>93.3</v>
      </c>
      <c r="CG17" s="285">
        <v>93.5</v>
      </c>
      <c r="CH17" s="354">
        <v>94</v>
      </c>
      <c r="CI17" s="354">
        <v>94</v>
      </c>
      <c r="CJ17" s="368">
        <v>94</v>
      </c>
      <c r="CK17" s="282" t="s">
        <v>59</v>
      </c>
      <c r="CL17" s="264">
        <v>100.8</v>
      </c>
      <c r="CM17" s="285">
        <v>107.8</v>
      </c>
      <c r="CN17" s="285">
        <v>108.1</v>
      </c>
      <c r="CO17" s="354">
        <v>108.3</v>
      </c>
      <c r="CP17" s="303">
        <v>108.2</v>
      </c>
      <c r="CQ17" s="368">
        <v>108.2</v>
      </c>
      <c r="CR17" s="354">
        <v>123.6</v>
      </c>
      <c r="CS17" s="303">
        <v>124.1</v>
      </c>
      <c r="CT17" s="368">
        <v>124.1</v>
      </c>
      <c r="CU17" s="354">
        <f>201112*100/164338</f>
        <v>122.3770521729606</v>
      </c>
      <c r="CV17" s="303">
        <f>211357*100/165379</f>
        <v>127.80159512392747</v>
      </c>
      <c r="CW17" s="368">
        <v>129</v>
      </c>
      <c r="CX17" s="427">
        <f>214229*100/168955</f>
        <v>126.79648427095972</v>
      </c>
    </row>
    <row r="18" spans="2:102" ht="12.75">
      <c r="B18" s="13" t="s">
        <v>12</v>
      </c>
      <c r="C18" s="8"/>
      <c r="D18" s="48">
        <v>44</v>
      </c>
      <c r="E18" s="48">
        <v>44</v>
      </c>
      <c r="F18" s="72">
        <v>44.5</v>
      </c>
      <c r="G18" s="72">
        <v>44.6</v>
      </c>
      <c r="H18" s="25">
        <v>44.6</v>
      </c>
      <c r="I18" s="18">
        <v>44.6</v>
      </c>
      <c r="J18" s="54">
        <v>43.6</v>
      </c>
      <c r="K18" s="55">
        <v>43.4</v>
      </c>
      <c r="L18" s="72">
        <v>43.8</v>
      </c>
      <c r="M18" s="72">
        <v>44</v>
      </c>
      <c r="N18" s="25">
        <v>43.9</v>
      </c>
      <c r="O18" s="25">
        <v>43.8</v>
      </c>
      <c r="P18" s="91">
        <v>43.8</v>
      </c>
      <c r="Q18" s="92">
        <v>43.6</v>
      </c>
      <c r="R18" s="72">
        <v>42.7</v>
      </c>
      <c r="S18" s="72">
        <v>42.7</v>
      </c>
      <c r="T18" s="25">
        <v>42.6</v>
      </c>
      <c r="U18" s="25">
        <v>42.6</v>
      </c>
      <c r="V18" s="91">
        <v>42.5</v>
      </c>
      <c r="W18" s="91">
        <v>42.3</v>
      </c>
      <c r="X18" s="115">
        <v>41.3</v>
      </c>
      <c r="Y18" s="116">
        <v>41.3</v>
      </c>
      <c r="Z18" s="87">
        <v>45.3</v>
      </c>
      <c r="AA18" s="25">
        <v>45.6</v>
      </c>
      <c r="AB18" s="91">
        <v>45.3</v>
      </c>
      <c r="AC18" s="91">
        <v>45.2</v>
      </c>
      <c r="AD18" s="115">
        <v>44.3</v>
      </c>
      <c r="AE18" s="115">
        <v>44.3</v>
      </c>
      <c r="AF18" s="137">
        <v>44.3</v>
      </c>
      <c r="AG18" s="138">
        <v>44.3</v>
      </c>
      <c r="AH18" s="107">
        <v>45.1</v>
      </c>
      <c r="AI18" s="107">
        <v>45.1</v>
      </c>
      <c r="AJ18" s="130">
        <v>44.3</v>
      </c>
      <c r="AK18" s="130">
        <v>44.3</v>
      </c>
      <c r="AL18" s="154">
        <v>44.1</v>
      </c>
      <c r="AM18" s="152">
        <v>44.1</v>
      </c>
      <c r="AN18" s="179">
        <v>44.1</v>
      </c>
      <c r="AO18" s="191">
        <v>44.1</v>
      </c>
      <c r="AP18" s="130">
        <v>41.1</v>
      </c>
      <c r="AQ18" s="130">
        <v>41.3</v>
      </c>
      <c r="AR18" s="154">
        <v>41.4</v>
      </c>
      <c r="AS18" s="154">
        <v>41.4</v>
      </c>
      <c r="AT18" s="177">
        <v>41.3</v>
      </c>
      <c r="AU18" s="206">
        <v>41.3</v>
      </c>
      <c r="AV18" s="48">
        <v>41.4</v>
      </c>
      <c r="AW18" s="213">
        <v>41.8</v>
      </c>
      <c r="AX18" s="154">
        <v>39.1</v>
      </c>
      <c r="AY18" s="154">
        <v>39.2</v>
      </c>
      <c r="AZ18" s="177">
        <v>39.2</v>
      </c>
      <c r="BA18" s="177">
        <v>39.2</v>
      </c>
      <c r="BB18" s="63">
        <v>39.2</v>
      </c>
      <c r="BC18" s="63">
        <v>39.3</v>
      </c>
      <c r="BD18" s="229">
        <v>39.7</v>
      </c>
      <c r="BE18" s="232">
        <v>39.7</v>
      </c>
      <c r="BF18" s="177">
        <v>35.4</v>
      </c>
      <c r="BG18" s="177">
        <v>35.1</v>
      </c>
      <c r="BH18" s="63">
        <v>35.1</v>
      </c>
      <c r="BI18" s="63">
        <v>35.2</v>
      </c>
      <c r="BJ18" s="229">
        <v>35.2</v>
      </c>
      <c r="BK18" s="229">
        <v>35.2</v>
      </c>
      <c r="BL18" s="263">
        <v>35.2</v>
      </c>
      <c r="BM18" s="252">
        <v>35.2</v>
      </c>
      <c r="BN18" s="215">
        <v>33.4</v>
      </c>
      <c r="BO18" s="63">
        <v>34.1</v>
      </c>
      <c r="BP18" s="229">
        <v>34.2</v>
      </c>
      <c r="BQ18" s="229">
        <v>34.1</v>
      </c>
      <c r="BR18" s="263">
        <v>34.1</v>
      </c>
      <c r="BS18" s="263">
        <v>33.9</v>
      </c>
      <c r="BT18" s="270">
        <v>33.9</v>
      </c>
      <c r="BU18" s="270">
        <v>33.9</v>
      </c>
      <c r="BV18" s="229">
        <v>44</v>
      </c>
      <c r="BW18" s="229">
        <v>43.8</v>
      </c>
      <c r="BX18" s="263">
        <v>43.8</v>
      </c>
      <c r="BY18" s="263">
        <v>43.3</v>
      </c>
      <c r="BZ18" s="285">
        <v>42.5</v>
      </c>
      <c r="CA18" s="285">
        <v>43.5</v>
      </c>
      <c r="CB18" s="305">
        <v>43.5</v>
      </c>
      <c r="CC18" s="293">
        <v>43.5</v>
      </c>
      <c r="CD18" s="263">
        <v>48.4</v>
      </c>
      <c r="CE18" s="263">
        <v>48.3</v>
      </c>
      <c r="CF18" s="285">
        <v>48.4</v>
      </c>
      <c r="CG18" s="285">
        <v>48.6</v>
      </c>
      <c r="CH18" s="290">
        <v>48.6</v>
      </c>
      <c r="CI18" s="290">
        <v>48.7</v>
      </c>
      <c r="CJ18" s="367">
        <v>48.8</v>
      </c>
      <c r="CK18" s="263">
        <v>50.1</v>
      </c>
      <c r="CL18" s="263">
        <v>48.7</v>
      </c>
      <c r="CM18" s="285">
        <v>48.6</v>
      </c>
      <c r="CN18" s="285">
        <v>49</v>
      </c>
      <c r="CO18" s="354">
        <v>49</v>
      </c>
      <c r="CP18" s="305">
        <v>49.2</v>
      </c>
      <c r="CQ18" s="368">
        <v>49.3</v>
      </c>
      <c r="CR18" s="354">
        <v>53</v>
      </c>
      <c r="CS18" s="303">
        <v>53.6</v>
      </c>
      <c r="CT18" s="368">
        <v>53.6</v>
      </c>
      <c r="CU18" s="354">
        <f>112760*100/200155</f>
        <v>56.33633933701381</v>
      </c>
      <c r="CV18" s="303">
        <f>113931*100/195339</f>
        <v>58.32475849676716</v>
      </c>
      <c r="CW18" s="368">
        <v>57</v>
      </c>
      <c r="CX18" s="427">
        <f>118995*100/197423</f>
        <v>60.27413219331081</v>
      </c>
    </row>
    <row r="19" spans="2:102" ht="12.75">
      <c r="B19" s="13" t="s">
        <v>13</v>
      </c>
      <c r="C19" s="8"/>
      <c r="D19" s="48">
        <v>55.3</v>
      </c>
      <c r="E19" s="48">
        <v>55.3</v>
      </c>
      <c r="F19" s="72">
        <v>52.8</v>
      </c>
      <c r="G19" s="72">
        <v>52.8</v>
      </c>
      <c r="H19" s="25">
        <v>52.8</v>
      </c>
      <c r="I19" s="18">
        <v>52.8</v>
      </c>
      <c r="J19" s="54">
        <v>56</v>
      </c>
      <c r="K19" s="55">
        <v>56.6</v>
      </c>
      <c r="L19" s="72">
        <v>54.4</v>
      </c>
      <c r="M19" s="72">
        <v>54.4</v>
      </c>
      <c r="N19" s="25">
        <v>54.4</v>
      </c>
      <c r="O19" s="25">
        <v>54.4</v>
      </c>
      <c r="P19" s="91">
        <v>54.3</v>
      </c>
      <c r="Q19" s="92">
        <v>54.3</v>
      </c>
      <c r="R19" s="72">
        <v>52.4</v>
      </c>
      <c r="S19" s="72">
        <v>52.7</v>
      </c>
      <c r="T19" s="25">
        <v>52.6</v>
      </c>
      <c r="U19" s="25">
        <v>52.6</v>
      </c>
      <c r="V19" s="91">
        <v>52.4</v>
      </c>
      <c r="W19" s="91">
        <v>52.4</v>
      </c>
      <c r="X19" s="115">
        <v>52</v>
      </c>
      <c r="Y19" s="116">
        <v>52</v>
      </c>
      <c r="Z19" s="87">
        <v>51.8</v>
      </c>
      <c r="AA19" s="25">
        <v>52</v>
      </c>
      <c r="AB19" s="91">
        <v>52</v>
      </c>
      <c r="AC19" s="91">
        <v>52</v>
      </c>
      <c r="AD19" s="115">
        <v>51.8</v>
      </c>
      <c r="AE19" s="115">
        <v>51.8</v>
      </c>
      <c r="AF19" s="137">
        <v>53.5</v>
      </c>
      <c r="AG19" s="138">
        <v>53.5</v>
      </c>
      <c r="AH19" s="107">
        <v>51.2</v>
      </c>
      <c r="AI19" s="107">
        <v>51.1</v>
      </c>
      <c r="AJ19" s="130">
        <v>50.5</v>
      </c>
      <c r="AK19" s="130">
        <v>50.5</v>
      </c>
      <c r="AL19" s="154">
        <v>52.4</v>
      </c>
      <c r="AM19" s="154">
        <v>52.4</v>
      </c>
      <c r="AN19" s="177">
        <v>51.2</v>
      </c>
      <c r="AO19" s="191">
        <v>51.2</v>
      </c>
      <c r="AP19" s="130">
        <v>50.3</v>
      </c>
      <c r="AQ19" s="130">
        <v>50.4</v>
      </c>
      <c r="AR19" s="154">
        <v>52.2</v>
      </c>
      <c r="AS19" s="154">
        <v>52.2</v>
      </c>
      <c r="AT19" s="177">
        <v>50.9</v>
      </c>
      <c r="AU19" s="206">
        <v>50.9</v>
      </c>
      <c r="AV19" s="48">
        <v>51</v>
      </c>
      <c r="AW19" s="212">
        <v>51</v>
      </c>
      <c r="AX19" s="154">
        <v>46.9</v>
      </c>
      <c r="AY19" s="154">
        <v>47</v>
      </c>
      <c r="AZ19" s="177">
        <v>45.9</v>
      </c>
      <c r="BA19" s="177">
        <v>45.9</v>
      </c>
      <c r="BB19" s="48">
        <v>45.9</v>
      </c>
      <c r="BC19" s="48">
        <v>45.9</v>
      </c>
      <c r="BD19" s="72">
        <v>45.7</v>
      </c>
      <c r="BE19" s="231">
        <v>45</v>
      </c>
      <c r="BF19" s="177">
        <v>40.6</v>
      </c>
      <c r="BG19" s="177">
        <v>40.4</v>
      </c>
      <c r="BH19" s="48">
        <v>40.5</v>
      </c>
      <c r="BI19" s="48">
        <v>40.5</v>
      </c>
      <c r="BJ19" s="72">
        <v>40.8</v>
      </c>
      <c r="BK19" s="72">
        <v>40</v>
      </c>
      <c r="BL19" s="264">
        <v>40.2</v>
      </c>
      <c r="BM19" s="251">
        <v>40.2</v>
      </c>
      <c r="BN19" s="48">
        <v>38</v>
      </c>
      <c r="BO19" s="48">
        <v>38</v>
      </c>
      <c r="BP19" s="72">
        <v>38.3</v>
      </c>
      <c r="BQ19" s="72">
        <v>38.2</v>
      </c>
      <c r="BR19" s="264">
        <v>38.8</v>
      </c>
      <c r="BS19" s="264">
        <v>38.8</v>
      </c>
      <c r="BT19" s="270">
        <v>38.8</v>
      </c>
      <c r="BU19" s="270">
        <v>38.8</v>
      </c>
      <c r="BV19" s="72">
        <v>42.3</v>
      </c>
      <c r="BW19" s="72">
        <v>41.9</v>
      </c>
      <c r="BX19" s="264">
        <v>42.8</v>
      </c>
      <c r="BY19" s="264">
        <v>42.7</v>
      </c>
      <c r="BZ19" s="285">
        <v>42.6</v>
      </c>
      <c r="CA19" s="285">
        <v>42.6</v>
      </c>
      <c r="CB19" s="303">
        <v>42.6</v>
      </c>
      <c r="CC19" s="294">
        <v>42.6</v>
      </c>
      <c r="CD19" s="264">
        <v>39.8</v>
      </c>
      <c r="CE19" s="264">
        <v>39.7</v>
      </c>
      <c r="CF19" s="285">
        <v>39.4</v>
      </c>
      <c r="CG19" s="285">
        <v>39.5</v>
      </c>
      <c r="CH19" s="354">
        <v>39.4</v>
      </c>
      <c r="CI19" s="354">
        <v>39.4</v>
      </c>
      <c r="CJ19" s="368">
        <v>39.4</v>
      </c>
      <c r="CK19" s="264">
        <v>36.8</v>
      </c>
      <c r="CL19" s="264">
        <v>36.9</v>
      </c>
      <c r="CM19" s="285">
        <v>38.4</v>
      </c>
      <c r="CN19" s="285">
        <v>38.4</v>
      </c>
      <c r="CO19" s="354">
        <v>38.4</v>
      </c>
      <c r="CP19" s="303">
        <v>38.6</v>
      </c>
      <c r="CQ19" s="368">
        <v>38.6</v>
      </c>
      <c r="CR19" s="354">
        <v>38.2</v>
      </c>
      <c r="CS19" s="303">
        <v>38.2</v>
      </c>
      <c r="CT19" s="368">
        <v>38.3</v>
      </c>
      <c r="CU19" s="354">
        <f>1528538*100/3638695</f>
        <v>42.00786270902068</v>
      </c>
      <c r="CV19" s="303">
        <f>1520574*100/3625886</f>
        <v>41.9366190773786</v>
      </c>
      <c r="CW19" s="368">
        <v>40.6</v>
      </c>
      <c r="CX19" s="427">
        <f>1560944*100/3783478</f>
        <v>41.2568541431984</v>
      </c>
    </row>
    <row r="20" spans="2:102" ht="13.5" thickBot="1">
      <c r="B20" s="16" t="s">
        <v>60</v>
      </c>
      <c r="C20" s="3"/>
      <c r="D20" s="49">
        <v>42.4</v>
      </c>
      <c r="E20" s="49">
        <v>42.1</v>
      </c>
      <c r="F20" s="73">
        <v>42.1</v>
      </c>
      <c r="G20" s="73">
        <v>42.1</v>
      </c>
      <c r="H20" s="34">
        <v>42.1</v>
      </c>
      <c r="I20" s="19">
        <v>42</v>
      </c>
      <c r="J20" s="56">
        <v>39</v>
      </c>
      <c r="K20" s="57">
        <v>39.1</v>
      </c>
      <c r="L20" s="73">
        <v>39</v>
      </c>
      <c r="M20" s="73">
        <v>38.9</v>
      </c>
      <c r="N20" s="34">
        <v>38.9</v>
      </c>
      <c r="O20" s="34">
        <v>38.8</v>
      </c>
      <c r="P20" s="93">
        <v>38.8</v>
      </c>
      <c r="Q20" s="94">
        <v>38.7</v>
      </c>
      <c r="R20" s="73">
        <v>38.6</v>
      </c>
      <c r="S20" s="73">
        <v>38.5</v>
      </c>
      <c r="T20" s="34">
        <v>38.5</v>
      </c>
      <c r="U20" s="34">
        <v>38.3</v>
      </c>
      <c r="V20" s="93">
        <v>38.3</v>
      </c>
      <c r="W20" s="93">
        <v>38.2</v>
      </c>
      <c r="X20" s="117">
        <v>37.6</v>
      </c>
      <c r="Y20" s="118">
        <v>37.5</v>
      </c>
      <c r="Z20" s="88">
        <v>39.8</v>
      </c>
      <c r="AA20" s="37">
        <v>39.8</v>
      </c>
      <c r="AB20" s="105">
        <v>39.7</v>
      </c>
      <c r="AC20" s="105">
        <v>39.7</v>
      </c>
      <c r="AD20" s="128">
        <v>39</v>
      </c>
      <c r="AE20" s="128">
        <v>38.9</v>
      </c>
      <c r="AF20" s="148">
        <v>38.8</v>
      </c>
      <c r="AG20" s="150">
        <v>38.7</v>
      </c>
      <c r="AH20" s="109">
        <v>41.6</v>
      </c>
      <c r="AI20" s="109">
        <v>41.5</v>
      </c>
      <c r="AJ20" s="132">
        <v>40.8</v>
      </c>
      <c r="AK20" s="132">
        <v>40.4</v>
      </c>
      <c r="AL20" s="155">
        <v>40.3</v>
      </c>
      <c r="AM20" s="155">
        <v>40.4</v>
      </c>
      <c r="AN20" s="180">
        <v>40.4</v>
      </c>
      <c r="AO20" s="193">
        <v>40.6</v>
      </c>
      <c r="AP20" s="132">
        <v>42.8</v>
      </c>
      <c r="AQ20" s="132">
        <v>42.4</v>
      </c>
      <c r="AR20" s="155">
        <v>42.2</v>
      </c>
      <c r="AS20" s="155">
        <v>42.1</v>
      </c>
      <c r="AT20" s="180">
        <v>42.1</v>
      </c>
      <c r="AU20" s="209">
        <v>42.3</v>
      </c>
      <c r="AV20" s="49">
        <v>42.3</v>
      </c>
      <c r="AW20" s="214">
        <v>42.2</v>
      </c>
      <c r="AX20" s="162">
        <v>43.5</v>
      </c>
      <c r="AY20" s="162">
        <v>43.2</v>
      </c>
      <c r="AZ20" s="182">
        <v>43.1</v>
      </c>
      <c r="BA20" s="182">
        <v>43.4</v>
      </c>
      <c r="BB20" s="230">
        <v>43.4</v>
      </c>
      <c r="BC20" s="49">
        <v>43.2</v>
      </c>
      <c r="BD20" s="73">
        <v>43.5</v>
      </c>
      <c r="BE20" s="233">
        <v>43.4</v>
      </c>
      <c r="BF20" s="182">
        <v>43.8</v>
      </c>
      <c r="BG20" s="182">
        <v>44.2</v>
      </c>
      <c r="BH20" s="49">
        <v>44.2</v>
      </c>
      <c r="BI20" s="49">
        <v>44.2</v>
      </c>
      <c r="BJ20" s="73">
        <v>44.7</v>
      </c>
      <c r="BK20" s="73">
        <v>44.5</v>
      </c>
      <c r="BL20" s="266">
        <v>44.5</v>
      </c>
      <c r="BM20" s="267">
        <v>44.4</v>
      </c>
      <c r="BN20" s="49">
        <v>52</v>
      </c>
      <c r="BO20" s="49">
        <v>52</v>
      </c>
      <c r="BP20" s="73">
        <v>52</v>
      </c>
      <c r="BQ20" s="73">
        <v>52.1</v>
      </c>
      <c r="BR20" s="266">
        <v>54.4</v>
      </c>
      <c r="BS20" s="266">
        <v>54.8</v>
      </c>
      <c r="BT20" s="272">
        <v>54.8</v>
      </c>
      <c r="BU20" s="272">
        <v>52.3</v>
      </c>
      <c r="BV20" s="73">
        <v>68.1</v>
      </c>
      <c r="BW20" s="73">
        <v>68.2</v>
      </c>
      <c r="BX20" s="266">
        <v>69.6</v>
      </c>
      <c r="BY20" s="266">
        <v>69.6</v>
      </c>
      <c r="BZ20" s="287">
        <v>69.6</v>
      </c>
      <c r="CA20" s="287">
        <v>67.8</v>
      </c>
      <c r="CB20" s="306">
        <v>67.8</v>
      </c>
      <c r="CC20" s="295">
        <v>67.1</v>
      </c>
      <c r="CD20" s="266">
        <v>80</v>
      </c>
      <c r="CE20" s="266">
        <v>79.9</v>
      </c>
      <c r="CF20" s="287">
        <v>79.6</v>
      </c>
      <c r="CG20" s="287">
        <v>79.4</v>
      </c>
      <c r="CH20" s="356">
        <v>79.4</v>
      </c>
      <c r="CI20" s="356">
        <v>78.4</v>
      </c>
      <c r="CJ20" s="370">
        <v>78.4</v>
      </c>
      <c r="CK20" s="266">
        <v>78.9</v>
      </c>
      <c r="CL20" s="266">
        <v>84.1</v>
      </c>
      <c r="CM20" s="287">
        <v>85.7</v>
      </c>
      <c r="CN20" s="287">
        <v>85</v>
      </c>
      <c r="CO20" s="357">
        <v>85.5</v>
      </c>
      <c r="CP20" s="306">
        <v>84.3</v>
      </c>
      <c r="CQ20" s="371">
        <v>84.3</v>
      </c>
      <c r="CR20" s="357">
        <v>90</v>
      </c>
      <c r="CS20" s="308">
        <v>88.7</v>
      </c>
      <c r="CT20" s="371">
        <v>89.1</v>
      </c>
      <c r="CU20" s="357" t="s">
        <v>59</v>
      </c>
      <c r="CV20" s="308">
        <f>1401579*100/1545755</f>
        <v>90.67277802756581</v>
      </c>
      <c r="CW20" s="397">
        <v>90.6</v>
      </c>
      <c r="CX20" s="397" t="s">
        <v>59</v>
      </c>
    </row>
    <row r="21" spans="2:102" ht="33" customHeight="1" thickBot="1" thickTop="1">
      <c r="B21" s="9" t="s">
        <v>17</v>
      </c>
      <c r="C21" s="9"/>
      <c r="D21" s="29" t="s">
        <v>30</v>
      </c>
      <c r="E21" s="10" t="s">
        <v>15</v>
      </c>
      <c r="F21" s="30" t="s">
        <v>31</v>
      </c>
      <c r="G21" s="30" t="s">
        <v>16</v>
      </c>
      <c r="H21" s="85" t="s">
        <v>38</v>
      </c>
      <c r="I21" s="9" t="s">
        <v>39</v>
      </c>
      <c r="J21" s="29" t="s">
        <v>30</v>
      </c>
      <c r="K21" s="29" t="s">
        <v>15</v>
      </c>
      <c r="L21" s="30" t="s">
        <v>31</v>
      </c>
      <c r="M21" s="30" t="s">
        <v>16</v>
      </c>
      <c r="N21" s="85" t="s">
        <v>38</v>
      </c>
      <c r="O21" s="9" t="s">
        <v>39</v>
      </c>
      <c r="P21" s="36" t="s">
        <v>40</v>
      </c>
      <c r="Q21" s="36" t="s">
        <v>41</v>
      </c>
      <c r="R21" s="30" t="s">
        <v>31</v>
      </c>
      <c r="S21" s="30" t="s">
        <v>16</v>
      </c>
      <c r="T21" s="85" t="s">
        <v>38</v>
      </c>
      <c r="U21" s="9" t="s">
        <v>39</v>
      </c>
      <c r="V21" s="36" t="s">
        <v>40</v>
      </c>
      <c r="W21" s="36" t="s">
        <v>41</v>
      </c>
      <c r="X21" s="126" t="s">
        <v>33</v>
      </c>
      <c r="Y21" s="112" t="s">
        <v>35</v>
      </c>
      <c r="Z21" s="85" t="s">
        <v>38</v>
      </c>
      <c r="AA21" s="9" t="s">
        <v>39</v>
      </c>
      <c r="AB21" s="36" t="s">
        <v>40</v>
      </c>
      <c r="AC21" s="36" t="s">
        <v>41</v>
      </c>
      <c r="AD21" s="112" t="s">
        <v>33</v>
      </c>
      <c r="AE21" s="112" t="s">
        <v>35</v>
      </c>
      <c r="AF21" s="42" t="s">
        <v>45</v>
      </c>
      <c r="AG21" s="42" t="s">
        <v>37</v>
      </c>
      <c r="AH21" s="36" t="s">
        <v>40</v>
      </c>
      <c r="AI21" s="36" t="s">
        <v>41</v>
      </c>
      <c r="AJ21" s="126" t="s">
        <v>33</v>
      </c>
      <c r="AK21" s="112" t="s">
        <v>35</v>
      </c>
      <c r="AL21" s="42" t="s">
        <v>45</v>
      </c>
      <c r="AM21" s="43" t="s">
        <v>37</v>
      </c>
      <c r="AN21" s="163" t="s">
        <v>46</v>
      </c>
      <c r="AO21" s="163" t="s">
        <v>43</v>
      </c>
      <c r="AP21" s="159" t="s">
        <v>33</v>
      </c>
      <c r="AQ21" s="112" t="s">
        <v>35</v>
      </c>
      <c r="AR21" s="42" t="s">
        <v>45</v>
      </c>
      <c r="AS21" s="42" t="s">
        <v>37</v>
      </c>
      <c r="AT21" s="163" t="s">
        <v>46</v>
      </c>
      <c r="AU21" s="198" t="s">
        <v>43</v>
      </c>
      <c r="AV21" s="227" t="s">
        <v>47</v>
      </c>
      <c r="AW21" s="200" t="s">
        <v>48</v>
      </c>
      <c r="AX21" s="42" t="s">
        <v>45</v>
      </c>
      <c r="AY21" s="210" t="s">
        <v>37</v>
      </c>
      <c r="AZ21" s="163" t="s">
        <v>46</v>
      </c>
      <c r="BA21" s="199" t="s">
        <v>43</v>
      </c>
      <c r="BB21" s="217" t="s">
        <v>47</v>
      </c>
      <c r="BC21" s="200" t="s">
        <v>48</v>
      </c>
      <c r="BD21" s="219" t="s">
        <v>49</v>
      </c>
      <c r="BE21" s="219" t="s">
        <v>50</v>
      </c>
      <c r="BF21" s="163" t="s">
        <v>46</v>
      </c>
      <c r="BG21" s="197" t="s">
        <v>43</v>
      </c>
      <c r="BH21" s="217" t="s">
        <v>47</v>
      </c>
      <c r="BI21" s="200" t="s">
        <v>48</v>
      </c>
      <c r="BJ21" s="219" t="s">
        <v>49</v>
      </c>
      <c r="BK21" s="219" t="s">
        <v>50</v>
      </c>
      <c r="BL21" s="247" t="s">
        <v>54</v>
      </c>
      <c r="BM21" s="247" t="s">
        <v>56</v>
      </c>
      <c r="BN21" s="200" t="s">
        <v>47</v>
      </c>
      <c r="BO21" s="200" t="s">
        <v>48</v>
      </c>
      <c r="BP21" s="219" t="s">
        <v>49</v>
      </c>
      <c r="BQ21" s="219" t="s">
        <v>50</v>
      </c>
      <c r="BR21" s="247" t="s">
        <v>54</v>
      </c>
      <c r="BS21" s="247" t="s">
        <v>56</v>
      </c>
      <c r="BT21" s="268" t="s">
        <v>57</v>
      </c>
      <c r="BU21" s="268" t="s">
        <v>65</v>
      </c>
      <c r="BV21" s="219" t="s">
        <v>49</v>
      </c>
      <c r="BW21" s="219" t="s">
        <v>50</v>
      </c>
      <c r="BX21" s="247" t="s">
        <v>54</v>
      </c>
      <c r="BY21" s="247" t="s">
        <v>56</v>
      </c>
      <c r="BZ21" s="268" t="s">
        <v>57</v>
      </c>
      <c r="CA21" s="268" t="s">
        <v>65</v>
      </c>
      <c r="CB21" s="289" t="s">
        <v>67</v>
      </c>
      <c r="CC21" s="289" t="s">
        <v>69</v>
      </c>
      <c r="CD21" s="247" t="s">
        <v>54</v>
      </c>
      <c r="CE21" s="247" t="s">
        <v>56</v>
      </c>
      <c r="CF21" s="268" t="s">
        <v>57</v>
      </c>
      <c r="CG21" s="268" t="s">
        <v>65</v>
      </c>
      <c r="CH21" s="289" t="s">
        <v>67</v>
      </c>
      <c r="CI21" s="358" t="s">
        <v>69</v>
      </c>
      <c r="CJ21" s="360" t="s">
        <v>72</v>
      </c>
      <c r="CK21" s="359" t="s">
        <v>54</v>
      </c>
      <c r="CL21" s="247" t="s">
        <v>56</v>
      </c>
      <c r="CM21" s="268" t="s">
        <v>57</v>
      </c>
      <c r="CN21" s="268" t="s">
        <v>65</v>
      </c>
      <c r="CO21" s="299" t="s">
        <v>67</v>
      </c>
      <c r="CP21" s="289" t="s">
        <v>69</v>
      </c>
      <c r="CQ21" s="386" t="s">
        <v>72</v>
      </c>
      <c r="CR21" s="385" t="s">
        <v>67</v>
      </c>
      <c r="CS21" s="289" t="s">
        <v>69</v>
      </c>
      <c r="CT21" s="386" t="s">
        <v>72</v>
      </c>
      <c r="CU21" s="385" t="s">
        <v>67</v>
      </c>
      <c r="CV21" s="289" t="s">
        <v>69</v>
      </c>
      <c r="CW21" s="391" t="s">
        <v>72</v>
      </c>
      <c r="CX21" s="392" t="s">
        <v>72</v>
      </c>
    </row>
    <row r="22" spans="2:102" ht="13.5" thickBot="1">
      <c r="B22" s="12"/>
      <c r="C22" s="11">
        <v>1995</v>
      </c>
      <c r="D22" s="432">
        <v>2000</v>
      </c>
      <c r="E22" s="430"/>
      <c r="F22" s="430"/>
      <c r="G22" s="430"/>
      <c r="H22" s="430"/>
      <c r="I22" s="430"/>
      <c r="J22" s="432">
        <v>2001</v>
      </c>
      <c r="K22" s="430"/>
      <c r="L22" s="430"/>
      <c r="M22" s="430"/>
      <c r="N22" s="430"/>
      <c r="O22" s="430"/>
      <c r="P22" s="430"/>
      <c r="Q22" s="431"/>
      <c r="R22" s="432">
        <v>2002</v>
      </c>
      <c r="S22" s="430"/>
      <c r="T22" s="430"/>
      <c r="U22" s="430"/>
      <c r="V22" s="430"/>
      <c r="W22" s="430"/>
      <c r="X22" s="430"/>
      <c r="Y22" s="431"/>
      <c r="Z22" s="430">
        <v>2003</v>
      </c>
      <c r="AA22" s="430"/>
      <c r="AB22" s="430"/>
      <c r="AC22" s="430"/>
      <c r="AD22" s="430"/>
      <c r="AE22" s="430"/>
      <c r="AF22" s="430"/>
      <c r="AG22" s="430"/>
      <c r="AH22" s="432">
        <v>2004</v>
      </c>
      <c r="AI22" s="430"/>
      <c r="AJ22" s="430"/>
      <c r="AK22" s="430"/>
      <c r="AL22" s="430"/>
      <c r="AM22" s="430"/>
      <c r="AN22" s="430"/>
      <c r="AO22" s="431"/>
      <c r="AP22" s="432">
        <v>2005</v>
      </c>
      <c r="AQ22" s="430"/>
      <c r="AR22" s="430"/>
      <c r="AS22" s="430"/>
      <c r="AT22" s="430"/>
      <c r="AU22" s="430"/>
      <c r="AV22" s="430"/>
      <c r="AW22" s="431"/>
      <c r="AX22" s="432">
        <v>2006</v>
      </c>
      <c r="AY22" s="430"/>
      <c r="AZ22" s="430"/>
      <c r="BA22" s="430"/>
      <c r="BB22" s="430"/>
      <c r="BC22" s="430"/>
      <c r="BD22" s="430"/>
      <c r="BE22" s="431"/>
      <c r="BF22" s="438">
        <v>2007</v>
      </c>
      <c r="BG22" s="439"/>
      <c r="BH22" s="439"/>
      <c r="BI22" s="439"/>
      <c r="BJ22" s="439"/>
      <c r="BK22" s="439"/>
      <c r="BL22" s="439"/>
      <c r="BM22" s="440"/>
      <c r="BN22" s="433">
        <v>2008</v>
      </c>
      <c r="BO22" s="434"/>
      <c r="BP22" s="434"/>
      <c r="BQ22" s="434"/>
      <c r="BR22" s="434"/>
      <c r="BS22" s="434"/>
      <c r="BT22" s="434"/>
      <c r="BU22" s="435"/>
      <c r="BV22" s="433">
        <v>2009</v>
      </c>
      <c r="BW22" s="434"/>
      <c r="BX22" s="434"/>
      <c r="BY22" s="434"/>
      <c r="BZ22" s="434"/>
      <c r="CA22" s="434"/>
      <c r="CB22" s="434"/>
      <c r="CC22" s="435"/>
      <c r="CD22" s="433">
        <v>2010</v>
      </c>
      <c r="CE22" s="434"/>
      <c r="CF22" s="434"/>
      <c r="CG22" s="434"/>
      <c r="CH22" s="434"/>
      <c r="CI22" s="434"/>
      <c r="CJ22" s="437"/>
      <c r="CK22" s="445">
        <v>2011</v>
      </c>
      <c r="CL22" s="445"/>
      <c r="CM22" s="445"/>
      <c r="CN22" s="445"/>
      <c r="CO22" s="445"/>
      <c r="CP22" s="445"/>
      <c r="CQ22" s="445"/>
      <c r="CR22" s="445">
        <v>2012</v>
      </c>
      <c r="CS22" s="445"/>
      <c r="CT22" s="445"/>
      <c r="CU22" s="445">
        <v>2013</v>
      </c>
      <c r="CV22" s="445"/>
      <c r="CW22" s="445"/>
      <c r="CX22" s="390">
        <v>2014</v>
      </c>
    </row>
    <row r="23" spans="2:102" ht="12.75">
      <c r="B23" s="13" t="s">
        <v>51</v>
      </c>
      <c r="C23" s="8"/>
      <c r="D23" s="48">
        <v>54.8</v>
      </c>
      <c r="E23" s="48"/>
      <c r="F23" s="72">
        <v>54.6</v>
      </c>
      <c r="G23" s="77"/>
      <c r="H23" s="25">
        <v>61.7</v>
      </c>
      <c r="I23" s="18">
        <v>61.6</v>
      </c>
      <c r="J23" s="62">
        <v>54.6</v>
      </c>
      <c r="K23" s="63"/>
      <c r="L23" s="71">
        <v>55.6</v>
      </c>
      <c r="M23" s="76"/>
      <c r="N23" s="24">
        <v>64.4</v>
      </c>
      <c r="O23" s="24">
        <v>64.3</v>
      </c>
      <c r="P23" s="102">
        <v>61.9</v>
      </c>
      <c r="Q23" s="90">
        <v>61.9</v>
      </c>
      <c r="R23" s="72">
        <v>58.6</v>
      </c>
      <c r="S23" s="77"/>
      <c r="T23" s="25">
        <v>67.1</v>
      </c>
      <c r="U23" s="25">
        <v>67.4</v>
      </c>
      <c r="V23" s="89">
        <v>65.2</v>
      </c>
      <c r="W23" s="91">
        <v>65.2</v>
      </c>
      <c r="X23" s="115">
        <v>65.2</v>
      </c>
      <c r="Y23" s="114">
        <v>64.7</v>
      </c>
      <c r="Z23" s="25">
        <v>72.2</v>
      </c>
      <c r="AA23" s="25">
        <v>70.9</v>
      </c>
      <c r="AB23" s="89">
        <v>69.8</v>
      </c>
      <c r="AC23" s="91">
        <v>69.8</v>
      </c>
      <c r="AD23" s="113">
        <v>69.7</v>
      </c>
      <c r="AE23" s="113">
        <v>69.1</v>
      </c>
      <c r="AF23" s="151">
        <v>69.1</v>
      </c>
      <c r="AG23" s="136">
        <v>68.9</v>
      </c>
      <c r="AH23" s="106">
        <v>71.9</v>
      </c>
      <c r="AI23" s="106">
        <v>72</v>
      </c>
      <c r="AJ23" s="129">
        <v>71.7</v>
      </c>
      <c r="AK23" s="129">
        <v>70.3</v>
      </c>
      <c r="AL23" s="152">
        <v>70.3</v>
      </c>
      <c r="AM23" s="153">
        <v>70.2</v>
      </c>
      <c r="AN23" s="176">
        <v>70.2</v>
      </c>
      <c r="AO23" s="195">
        <v>70.2</v>
      </c>
      <c r="AP23" s="129">
        <v>70.3</v>
      </c>
      <c r="AQ23" s="129">
        <v>69.2</v>
      </c>
      <c r="AR23" s="152">
        <v>69.2</v>
      </c>
      <c r="AS23" s="153">
        <v>69.1</v>
      </c>
      <c r="AT23" s="179">
        <v>69.1</v>
      </c>
      <c r="AU23" s="207">
        <v>69.1</v>
      </c>
      <c r="AV23" s="63">
        <v>69.1</v>
      </c>
      <c r="AW23" s="211">
        <v>69.1</v>
      </c>
      <c r="AX23" s="152">
        <v>65.3</v>
      </c>
      <c r="AY23" s="153">
        <v>65.2</v>
      </c>
      <c r="AZ23" s="176">
        <v>64.8</v>
      </c>
      <c r="BA23" s="176">
        <v>64.6</v>
      </c>
      <c r="BB23" s="63">
        <v>64.6</v>
      </c>
      <c r="BC23" s="63">
        <v>64.6</v>
      </c>
      <c r="BD23" s="229">
        <v>64.6</v>
      </c>
      <c r="BE23" s="234">
        <v>64.6</v>
      </c>
      <c r="BF23" s="176">
        <v>59.8</v>
      </c>
      <c r="BG23" s="184">
        <v>59.5</v>
      </c>
      <c r="BH23" s="63">
        <v>59.4</v>
      </c>
      <c r="BI23" s="63">
        <v>58.3</v>
      </c>
      <c r="BJ23" s="229">
        <v>58.3</v>
      </c>
      <c r="BK23" s="229">
        <v>58.3</v>
      </c>
      <c r="BL23" s="263">
        <v>58.3</v>
      </c>
      <c r="BM23" s="250">
        <v>58.8</v>
      </c>
      <c r="BN23" s="215">
        <v>49.1</v>
      </c>
      <c r="BO23" s="63">
        <v>48.4</v>
      </c>
      <c r="BP23" s="229">
        <v>48.4</v>
      </c>
      <c r="BQ23" s="229">
        <v>48.3</v>
      </c>
      <c r="BR23" s="263">
        <v>48.3</v>
      </c>
      <c r="BS23" s="263">
        <v>48.9</v>
      </c>
      <c r="BT23" s="269">
        <v>48.9</v>
      </c>
      <c r="BU23" s="269">
        <v>48.9</v>
      </c>
      <c r="BV23" s="229">
        <v>56.2</v>
      </c>
      <c r="BW23" s="229">
        <v>58</v>
      </c>
      <c r="BX23" s="263">
        <v>58</v>
      </c>
      <c r="BY23" s="263">
        <v>58.5</v>
      </c>
      <c r="BZ23" s="292">
        <v>58.5</v>
      </c>
      <c r="CA23" s="292">
        <v>58.5</v>
      </c>
      <c r="CB23" s="307">
        <v>58.5</v>
      </c>
      <c r="CC23" s="293">
        <v>58.5</v>
      </c>
      <c r="CD23" s="263">
        <v>60.8</v>
      </c>
      <c r="CE23" s="263">
        <v>61.5</v>
      </c>
      <c r="CF23" s="284">
        <v>61.5</v>
      </c>
      <c r="CG23" s="284">
        <v>61.3</v>
      </c>
      <c r="CH23" s="365">
        <v>61.3</v>
      </c>
      <c r="CI23" s="290">
        <v>61.3</v>
      </c>
      <c r="CJ23" s="367">
        <v>61.3</v>
      </c>
      <c r="CK23" s="263">
        <v>62</v>
      </c>
      <c r="CL23" s="263">
        <v>64.5</v>
      </c>
      <c r="CM23" s="284">
        <v>71.6</v>
      </c>
      <c r="CN23" s="284">
        <v>71.1</v>
      </c>
      <c r="CO23" s="380">
        <v>71.1</v>
      </c>
      <c r="CP23" s="302">
        <v>71.5</v>
      </c>
      <c r="CQ23" s="393">
        <v>71.5</v>
      </c>
      <c r="CR23" s="366">
        <v>85.8</v>
      </c>
      <c r="CS23" s="302">
        <v>86.6</v>
      </c>
      <c r="CT23" s="393">
        <v>86.6</v>
      </c>
      <c r="CU23" s="366">
        <f>15880*100/16400</f>
        <v>96.82926829268293</v>
      </c>
      <c r="CV23" s="302">
        <f>18767*100/16400</f>
        <v>114.4329268292683</v>
      </c>
      <c r="CW23" s="425">
        <v>111.7</v>
      </c>
      <c r="CX23" s="426">
        <f>18567*100/15873</f>
        <v>116.97221697221697</v>
      </c>
    </row>
    <row r="24" spans="2:102" ht="12.75">
      <c r="B24" s="13" t="s">
        <v>52</v>
      </c>
      <c r="C24" s="8"/>
      <c r="D24" s="48">
        <v>16.7</v>
      </c>
      <c r="E24" s="48"/>
      <c r="F24" s="72">
        <v>16.6</v>
      </c>
      <c r="G24" s="77"/>
      <c r="H24" s="25">
        <v>18.2</v>
      </c>
      <c r="I24" s="18">
        <v>18.2</v>
      </c>
      <c r="J24" s="64">
        <v>23.6</v>
      </c>
      <c r="K24" s="48"/>
      <c r="L24" s="72">
        <v>23.3</v>
      </c>
      <c r="M24" s="77"/>
      <c r="N24" s="25">
        <v>25.2</v>
      </c>
      <c r="O24" s="25">
        <v>25.3</v>
      </c>
      <c r="P24" s="91">
        <v>27.2</v>
      </c>
      <c r="Q24" s="92">
        <v>26.3</v>
      </c>
      <c r="R24" s="72">
        <v>27.1</v>
      </c>
      <c r="S24" s="77"/>
      <c r="T24" s="25">
        <v>28.9</v>
      </c>
      <c r="U24" s="25">
        <v>28.8</v>
      </c>
      <c r="V24" s="91">
        <v>30.7</v>
      </c>
      <c r="W24" s="91">
        <v>29.8</v>
      </c>
      <c r="X24" s="115">
        <v>28.8</v>
      </c>
      <c r="Y24" s="116">
        <v>28.5</v>
      </c>
      <c r="Z24" s="25">
        <v>37.6</v>
      </c>
      <c r="AA24" s="25">
        <v>37.8</v>
      </c>
      <c r="AB24" s="91">
        <v>38.3</v>
      </c>
      <c r="AC24" s="91">
        <v>36.8</v>
      </c>
      <c r="AD24" s="115">
        <v>30</v>
      </c>
      <c r="AE24" s="115">
        <v>30.1</v>
      </c>
      <c r="AF24" s="137">
        <v>30.1</v>
      </c>
      <c r="AG24" s="138">
        <v>30.1</v>
      </c>
      <c r="AH24" s="107">
        <v>37.4</v>
      </c>
      <c r="AI24" s="107">
        <v>36.8</v>
      </c>
      <c r="AJ24" s="130">
        <v>30.6</v>
      </c>
      <c r="AK24" s="130">
        <v>30.7</v>
      </c>
      <c r="AL24" s="152">
        <v>30.7</v>
      </c>
      <c r="AM24" s="154">
        <v>30.4</v>
      </c>
      <c r="AN24" s="177">
        <v>30.4</v>
      </c>
      <c r="AO24" s="191">
        <v>30.4</v>
      </c>
      <c r="AP24" s="130">
        <v>30.5</v>
      </c>
      <c r="AQ24" s="130">
        <v>30.4</v>
      </c>
      <c r="AR24" s="154">
        <v>30.4</v>
      </c>
      <c r="AS24" s="154">
        <v>30.2</v>
      </c>
      <c r="AT24" s="179">
        <v>29.7</v>
      </c>
      <c r="AU24" s="207">
        <v>29.8</v>
      </c>
      <c r="AV24" s="48">
        <v>29.8</v>
      </c>
      <c r="AW24" s="212">
        <v>29.7</v>
      </c>
      <c r="AX24" s="154">
        <v>30.4</v>
      </c>
      <c r="AY24" s="154">
        <v>30.1</v>
      </c>
      <c r="AZ24" s="177">
        <v>29.4</v>
      </c>
      <c r="BA24" s="177">
        <v>29.6</v>
      </c>
      <c r="BB24" s="48">
        <v>29.6</v>
      </c>
      <c r="BC24" s="48">
        <v>29.4</v>
      </c>
      <c r="BD24" s="72">
        <v>29.4</v>
      </c>
      <c r="BE24" s="231">
        <v>29.4</v>
      </c>
      <c r="BF24" s="177">
        <v>28.7</v>
      </c>
      <c r="BG24" s="177">
        <v>28.9</v>
      </c>
      <c r="BH24" s="48">
        <v>28.9</v>
      </c>
      <c r="BI24" s="48">
        <v>29</v>
      </c>
      <c r="BJ24" s="72">
        <v>29</v>
      </c>
      <c r="BK24" s="72">
        <v>29</v>
      </c>
      <c r="BL24" s="264">
        <v>29</v>
      </c>
      <c r="BM24" s="251">
        <v>27.9</v>
      </c>
      <c r="BN24" s="48">
        <v>29.8</v>
      </c>
      <c r="BO24" s="48">
        <v>30</v>
      </c>
      <c r="BP24" s="72">
        <v>30</v>
      </c>
      <c r="BQ24" s="72">
        <v>30</v>
      </c>
      <c r="BR24" s="264">
        <v>30</v>
      </c>
      <c r="BS24" s="264">
        <v>28.7</v>
      </c>
      <c r="BT24" s="270">
        <v>28.7</v>
      </c>
      <c r="BU24" s="270">
        <v>28.7</v>
      </c>
      <c r="BV24" s="72">
        <v>35.4</v>
      </c>
      <c r="BW24" s="72">
        <v>35.3</v>
      </c>
      <c r="BX24" s="264">
        <v>35.3</v>
      </c>
      <c r="BY24" s="264">
        <v>34.4</v>
      </c>
      <c r="BZ24" s="285">
        <v>34.4</v>
      </c>
      <c r="CA24" s="285">
        <v>34.2</v>
      </c>
      <c r="CB24" s="303">
        <v>34.2</v>
      </c>
      <c r="CC24" s="294">
        <v>34.6</v>
      </c>
      <c r="CD24" s="264">
        <v>38.5</v>
      </c>
      <c r="CE24" s="264">
        <v>37.6</v>
      </c>
      <c r="CF24" s="285">
        <v>38.1</v>
      </c>
      <c r="CG24" s="285">
        <v>37.8</v>
      </c>
      <c r="CH24" s="354">
        <v>37.8</v>
      </c>
      <c r="CI24" s="354">
        <v>38.4</v>
      </c>
      <c r="CJ24" s="368">
        <v>38.4</v>
      </c>
      <c r="CK24" s="264">
        <v>41.4</v>
      </c>
      <c r="CL24" s="264">
        <v>40.9</v>
      </c>
      <c r="CM24" s="285">
        <v>41.2</v>
      </c>
      <c r="CN24" s="285">
        <v>40.8</v>
      </c>
      <c r="CO24" s="354">
        <v>40.8</v>
      </c>
      <c r="CP24" s="303">
        <v>41.4</v>
      </c>
      <c r="CQ24" s="368">
        <v>41.4</v>
      </c>
      <c r="CR24" s="354">
        <v>45.8</v>
      </c>
      <c r="CS24" s="303">
        <v>46.2</v>
      </c>
      <c r="CT24" s="368">
        <v>46.2</v>
      </c>
      <c r="CU24" s="354">
        <f>1872243*100/3858260</f>
        <v>48.52557888789247</v>
      </c>
      <c r="CV24" s="303">
        <f>1774743*100/3821677</f>
        <v>46.43885393768233</v>
      </c>
      <c r="CW24" s="368">
        <v>46</v>
      </c>
      <c r="CX24" s="427">
        <f>1768436*100/4022808</f>
        <v>43.96023871882526</v>
      </c>
    </row>
    <row r="25" spans="2:102" ht="12.75">
      <c r="B25" s="13" t="s">
        <v>21</v>
      </c>
      <c r="C25" s="8"/>
      <c r="D25" s="48">
        <v>5.1</v>
      </c>
      <c r="E25" s="48"/>
      <c r="F25" s="72">
        <v>5.1</v>
      </c>
      <c r="G25" s="77"/>
      <c r="H25" s="25">
        <v>5</v>
      </c>
      <c r="I25" s="18">
        <v>4.7</v>
      </c>
      <c r="J25" s="64">
        <v>4.8</v>
      </c>
      <c r="K25" s="63"/>
      <c r="L25" s="72">
        <v>4.8</v>
      </c>
      <c r="M25" s="77"/>
      <c r="N25" s="25">
        <v>4.7</v>
      </c>
      <c r="O25" s="25">
        <v>4.4</v>
      </c>
      <c r="P25" s="91">
        <v>4.4</v>
      </c>
      <c r="Q25" s="92">
        <v>4.7</v>
      </c>
      <c r="R25" s="72">
        <v>5.8</v>
      </c>
      <c r="S25" s="77"/>
      <c r="T25" s="25">
        <v>5.7</v>
      </c>
      <c r="U25" s="25">
        <v>5.3</v>
      </c>
      <c r="V25" s="91">
        <v>5.3</v>
      </c>
      <c r="W25" s="91">
        <v>5.8</v>
      </c>
      <c r="X25" s="115">
        <v>5.5</v>
      </c>
      <c r="Y25" s="116">
        <v>5.6</v>
      </c>
      <c r="Z25" s="25">
        <v>5.8</v>
      </c>
      <c r="AA25" s="25">
        <v>5.3</v>
      </c>
      <c r="AB25" s="91">
        <v>5.3</v>
      </c>
      <c r="AC25" s="91">
        <v>6</v>
      </c>
      <c r="AD25" s="115">
        <v>6</v>
      </c>
      <c r="AE25" s="115">
        <v>5.7</v>
      </c>
      <c r="AF25" s="137">
        <v>5.7</v>
      </c>
      <c r="AG25" s="138">
        <v>5.5</v>
      </c>
      <c r="AH25" s="107">
        <v>4.9</v>
      </c>
      <c r="AI25" s="107">
        <v>5.5</v>
      </c>
      <c r="AJ25" s="130">
        <v>5.4</v>
      </c>
      <c r="AK25" s="130">
        <v>5.2</v>
      </c>
      <c r="AL25" s="154">
        <v>5.2</v>
      </c>
      <c r="AM25" s="154">
        <v>5.1</v>
      </c>
      <c r="AN25" s="177">
        <v>5.1</v>
      </c>
      <c r="AO25" s="191">
        <v>5</v>
      </c>
      <c r="AP25" s="130">
        <v>4.8</v>
      </c>
      <c r="AQ25" s="130">
        <v>4.5</v>
      </c>
      <c r="AR25" s="154">
        <v>4.4</v>
      </c>
      <c r="AS25" s="154">
        <v>4.4</v>
      </c>
      <c r="AT25" s="177">
        <v>4.5</v>
      </c>
      <c r="AU25" s="206">
        <v>4.5</v>
      </c>
      <c r="AV25" s="63">
        <v>4.5</v>
      </c>
      <c r="AW25" s="213">
        <v>4.6</v>
      </c>
      <c r="AX25" s="154">
        <v>4.1</v>
      </c>
      <c r="AY25" s="154">
        <v>4</v>
      </c>
      <c r="AZ25" s="177">
        <v>4.2</v>
      </c>
      <c r="BA25" s="177">
        <v>4.3</v>
      </c>
      <c r="BB25" s="63">
        <v>4.3</v>
      </c>
      <c r="BC25" s="63">
        <v>4.5</v>
      </c>
      <c r="BD25" s="229">
        <v>4.5</v>
      </c>
      <c r="BE25" s="232">
        <v>4.4</v>
      </c>
      <c r="BF25" s="177">
        <v>3.4</v>
      </c>
      <c r="BG25" s="177">
        <v>3.5</v>
      </c>
      <c r="BH25" s="63">
        <v>3.5</v>
      </c>
      <c r="BI25" s="63">
        <v>3.8</v>
      </c>
      <c r="BJ25" s="229">
        <v>3.8</v>
      </c>
      <c r="BK25" s="229">
        <v>3.7</v>
      </c>
      <c r="BL25" s="263">
        <v>3.7</v>
      </c>
      <c r="BM25" s="252">
        <v>3.7</v>
      </c>
      <c r="BN25" s="215">
        <v>4.8</v>
      </c>
      <c r="BO25" s="63">
        <v>4.6</v>
      </c>
      <c r="BP25" s="229">
        <v>4.6</v>
      </c>
      <c r="BQ25" s="229">
        <v>4.6</v>
      </c>
      <c r="BR25" s="263">
        <v>4.6</v>
      </c>
      <c r="BS25" s="263">
        <v>4.5</v>
      </c>
      <c r="BT25" s="270">
        <v>4.5</v>
      </c>
      <c r="BU25" s="270">
        <v>4.5</v>
      </c>
      <c r="BV25" s="229">
        <v>7.2</v>
      </c>
      <c r="BW25" s="229">
        <v>7.2</v>
      </c>
      <c r="BX25" s="263">
        <v>7.2</v>
      </c>
      <c r="BY25" s="263">
        <v>7.2</v>
      </c>
      <c r="BZ25" s="285">
        <v>7.2</v>
      </c>
      <c r="CA25" s="285">
        <v>7.2</v>
      </c>
      <c r="CB25" s="305">
        <v>7.2</v>
      </c>
      <c r="CC25" s="293">
        <v>7.1</v>
      </c>
      <c r="CD25" s="263">
        <v>6.6</v>
      </c>
      <c r="CE25" s="263">
        <v>6.7</v>
      </c>
      <c r="CF25" s="285">
        <v>6.7</v>
      </c>
      <c r="CG25" s="285">
        <v>6.7</v>
      </c>
      <c r="CH25" s="290">
        <v>6.7</v>
      </c>
      <c r="CI25" s="290">
        <v>6.7</v>
      </c>
      <c r="CJ25" s="367">
        <v>6.7</v>
      </c>
      <c r="CK25" s="263">
        <v>6.3</v>
      </c>
      <c r="CL25" s="263">
        <v>5.8</v>
      </c>
      <c r="CM25" s="285">
        <v>6</v>
      </c>
      <c r="CN25" s="285">
        <v>6.1</v>
      </c>
      <c r="CO25" s="354">
        <v>6.2</v>
      </c>
      <c r="CP25" s="303">
        <v>6.1</v>
      </c>
      <c r="CQ25" s="368">
        <v>6.1</v>
      </c>
      <c r="CR25" s="354">
        <v>10.1</v>
      </c>
      <c r="CS25" s="303">
        <v>9.8</v>
      </c>
      <c r="CT25" s="368">
        <v>9.8</v>
      </c>
      <c r="CU25" s="354">
        <f>2157*100/18121</f>
        <v>11.903316594006954</v>
      </c>
      <c r="CV25" s="303">
        <f>1857*100/18463</f>
        <v>10.057953745328495</v>
      </c>
      <c r="CW25" s="368">
        <v>10</v>
      </c>
      <c r="CX25" s="427">
        <f>1931*100/19338</f>
        <v>9.985520736373978</v>
      </c>
    </row>
    <row r="26" spans="2:102" ht="12.75">
      <c r="B26" s="13" t="s">
        <v>22</v>
      </c>
      <c r="C26" s="8"/>
      <c r="D26" s="48">
        <v>55.4</v>
      </c>
      <c r="E26" s="48"/>
      <c r="F26" s="72">
        <v>55.5</v>
      </c>
      <c r="G26" s="77"/>
      <c r="H26" s="25">
        <v>55.4</v>
      </c>
      <c r="I26" s="18">
        <v>55.4</v>
      </c>
      <c r="J26" s="64">
        <v>53.1</v>
      </c>
      <c r="K26" s="48"/>
      <c r="L26" s="72">
        <v>53.4</v>
      </c>
      <c r="M26" s="77"/>
      <c r="N26" s="25">
        <v>53.5</v>
      </c>
      <c r="O26" s="25">
        <v>53.5</v>
      </c>
      <c r="P26" s="91">
        <v>52.2</v>
      </c>
      <c r="Q26" s="92">
        <v>52.2</v>
      </c>
      <c r="R26" s="72">
        <v>56.3</v>
      </c>
      <c r="S26" s="77"/>
      <c r="T26" s="25">
        <v>57.1</v>
      </c>
      <c r="U26" s="25">
        <v>57.2</v>
      </c>
      <c r="V26" s="91">
        <v>55.5</v>
      </c>
      <c r="W26" s="91">
        <v>55.5</v>
      </c>
      <c r="X26" s="115">
        <v>55</v>
      </c>
      <c r="Y26" s="116">
        <v>54</v>
      </c>
      <c r="Z26" s="25">
        <v>59</v>
      </c>
      <c r="AA26" s="25">
        <v>59.1</v>
      </c>
      <c r="AB26" s="91">
        <v>56.9</v>
      </c>
      <c r="AC26" s="91">
        <v>57.4</v>
      </c>
      <c r="AD26" s="115">
        <v>56.7</v>
      </c>
      <c r="AE26" s="115">
        <v>55.8</v>
      </c>
      <c r="AF26" s="137">
        <v>58</v>
      </c>
      <c r="AG26" s="138">
        <v>58</v>
      </c>
      <c r="AH26" s="107">
        <v>57.6</v>
      </c>
      <c r="AI26" s="107">
        <v>57.4</v>
      </c>
      <c r="AJ26" s="130">
        <v>57.1</v>
      </c>
      <c r="AK26" s="130">
        <v>56.3</v>
      </c>
      <c r="AL26" s="154">
        <v>59.4</v>
      </c>
      <c r="AM26" s="154">
        <v>59.4</v>
      </c>
      <c r="AN26" s="177">
        <v>59.4</v>
      </c>
      <c r="AO26" s="191">
        <v>59.4</v>
      </c>
      <c r="AP26" s="130">
        <v>58.4</v>
      </c>
      <c r="AQ26" s="130">
        <v>57.7</v>
      </c>
      <c r="AR26" s="154">
        <v>61.7</v>
      </c>
      <c r="AS26" s="154">
        <v>61.6</v>
      </c>
      <c r="AT26" s="177">
        <v>61.6</v>
      </c>
      <c r="AU26" s="206">
        <v>61.7</v>
      </c>
      <c r="AV26" s="48">
        <v>61.7</v>
      </c>
      <c r="AW26" s="212">
        <v>61.8</v>
      </c>
      <c r="AX26" s="154">
        <v>66</v>
      </c>
      <c r="AY26" s="154">
        <v>65.6</v>
      </c>
      <c r="AZ26" s="177">
        <v>65.6</v>
      </c>
      <c r="BA26" s="177">
        <v>65.6</v>
      </c>
      <c r="BB26" s="48">
        <v>65.6</v>
      </c>
      <c r="BC26" s="61">
        <v>65.6</v>
      </c>
      <c r="BD26" s="78">
        <v>65.6</v>
      </c>
      <c r="BE26" s="235">
        <v>65.7</v>
      </c>
      <c r="BF26" s="177">
        <v>66</v>
      </c>
      <c r="BG26" s="177">
        <v>65.8</v>
      </c>
      <c r="BH26" s="48">
        <v>65.8</v>
      </c>
      <c r="BI26" s="48">
        <v>65.9</v>
      </c>
      <c r="BJ26" s="72">
        <v>65.9</v>
      </c>
      <c r="BK26" s="72">
        <v>66.1</v>
      </c>
      <c r="BL26" s="264">
        <v>66.1</v>
      </c>
      <c r="BM26" s="251">
        <v>67</v>
      </c>
      <c r="BN26" s="48">
        <v>73</v>
      </c>
      <c r="BO26" s="48">
        <v>72.9</v>
      </c>
      <c r="BP26" s="72">
        <v>72.9</v>
      </c>
      <c r="BQ26" s="72">
        <v>72.3</v>
      </c>
      <c r="BR26" s="264">
        <v>72.3</v>
      </c>
      <c r="BS26" s="264">
        <v>72.9</v>
      </c>
      <c r="BT26" s="270">
        <v>73</v>
      </c>
      <c r="BU26" s="270">
        <v>73</v>
      </c>
      <c r="BV26" s="72">
        <v>78.3</v>
      </c>
      <c r="BW26" s="72">
        <v>78.4</v>
      </c>
      <c r="BX26" s="264">
        <v>78.4</v>
      </c>
      <c r="BY26" s="264">
        <v>79.7</v>
      </c>
      <c r="BZ26" s="285">
        <v>79.8</v>
      </c>
      <c r="CA26" s="285">
        <v>79.8</v>
      </c>
      <c r="CB26" s="303">
        <v>79.8</v>
      </c>
      <c r="CC26" s="294">
        <v>79.8</v>
      </c>
      <c r="CD26" s="264">
        <v>80.2</v>
      </c>
      <c r="CE26" s="264">
        <v>81.3</v>
      </c>
      <c r="CF26" s="285">
        <v>81.4</v>
      </c>
      <c r="CG26" s="285">
        <v>81.8</v>
      </c>
      <c r="CH26" s="354">
        <v>81.8</v>
      </c>
      <c r="CI26" s="354">
        <v>82.2</v>
      </c>
      <c r="CJ26" s="368">
        <v>82.2</v>
      </c>
      <c r="CK26" s="264">
        <v>75.5</v>
      </c>
      <c r="CL26" s="264">
        <v>73.9</v>
      </c>
      <c r="CM26" s="285">
        <v>80.6</v>
      </c>
      <c r="CN26" s="285">
        <v>81.4</v>
      </c>
      <c r="CO26" s="354">
        <v>81.4</v>
      </c>
      <c r="CP26" s="303">
        <v>82.1</v>
      </c>
      <c r="CQ26" s="368">
        <v>82.1</v>
      </c>
      <c r="CR26" s="354">
        <v>79.2</v>
      </c>
      <c r="CS26" s="303">
        <v>79.8</v>
      </c>
      <c r="CT26" s="368">
        <v>79.8</v>
      </c>
      <c r="CU26" s="354">
        <f>23039908*100/29482000</f>
        <v>78.14906722746082</v>
      </c>
      <c r="CV26" s="303">
        <f>23132580*100/29203000</f>
        <v>79.21302605896655</v>
      </c>
      <c r="CW26" s="368">
        <v>79.2</v>
      </c>
      <c r="CX26" s="427">
        <f>24092973*100/30536000</f>
        <v>78.900225962798</v>
      </c>
    </row>
    <row r="27" spans="2:102" ht="12.75">
      <c r="B27" s="13" t="s">
        <v>23</v>
      </c>
      <c r="C27" s="8"/>
      <c r="D27" s="48">
        <v>24</v>
      </c>
      <c r="E27" s="48"/>
      <c r="F27" s="72">
        <v>24.3</v>
      </c>
      <c r="G27" s="77"/>
      <c r="H27" s="25">
        <v>24.3</v>
      </c>
      <c r="I27" s="18">
        <v>23.8</v>
      </c>
      <c r="J27" s="64">
        <v>23.1</v>
      </c>
      <c r="K27" s="63"/>
      <c r="L27" s="72">
        <v>23.4</v>
      </c>
      <c r="M27" s="77"/>
      <c r="N27" s="25">
        <v>23.4</v>
      </c>
      <c r="O27" s="25">
        <v>22.9</v>
      </c>
      <c r="P27" s="91">
        <v>22.9</v>
      </c>
      <c r="Q27" s="92">
        <v>22.9</v>
      </c>
      <c r="R27" s="72">
        <v>22.7</v>
      </c>
      <c r="S27" s="77"/>
      <c r="T27" s="25">
        <v>22.8</v>
      </c>
      <c r="U27" s="25">
        <v>22.4</v>
      </c>
      <c r="V27" s="91">
        <v>22.4</v>
      </c>
      <c r="W27" s="91">
        <v>22.4</v>
      </c>
      <c r="X27" s="115">
        <v>22.3</v>
      </c>
      <c r="Y27" s="116">
        <v>22.2</v>
      </c>
      <c r="Z27" s="25">
        <v>21.9</v>
      </c>
      <c r="AA27" s="25">
        <v>21.6</v>
      </c>
      <c r="AB27" s="91">
        <v>21.4</v>
      </c>
      <c r="AC27" s="91">
        <v>21.4</v>
      </c>
      <c r="AD27" s="115">
        <v>21.2</v>
      </c>
      <c r="AE27" s="115">
        <v>21.2</v>
      </c>
      <c r="AF27" s="137">
        <v>21.2</v>
      </c>
      <c r="AG27" s="138">
        <v>21.2</v>
      </c>
      <c r="AH27" s="107">
        <v>19.7</v>
      </c>
      <c r="AI27" s="107">
        <v>19.6</v>
      </c>
      <c r="AJ27" s="130">
        <v>19.5</v>
      </c>
      <c r="AK27" s="130">
        <v>19.4</v>
      </c>
      <c r="AL27" s="154">
        <v>19.4</v>
      </c>
      <c r="AM27" s="154">
        <v>19.4</v>
      </c>
      <c r="AN27" s="177">
        <v>19.4</v>
      </c>
      <c r="AO27" s="191">
        <v>19.4</v>
      </c>
      <c r="AP27" s="130">
        <v>18.7</v>
      </c>
      <c r="AQ27" s="130">
        <v>18.7</v>
      </c>
      <c r="AR27" s="154">
        <v>18.6</v>
      </c>
      <c r="AS27" s="154">
        <v>18.6</v>
      </c>
      <c r="AT27" s="177">
        <v>18.6</v>
      </c>
      <c r="AU27" s="206">
        <v>18.4</v>
      </c>
      <c r="AV27" s="63">
        <v>18.4</v>
      </c>
      <c r="AW27" s="213">
        <v>18.4</v>
      </c>
      <c r="AX27" s="154">
        <v>18.2</v>
      </c>
      <c r="AY27" s="154">
        <v>18.2</v>
      </c>
      <c r="AZ27" s="177">
        <v>18.2</v>
      </c>
      <c r="BA27" s="177">
        <v>18</v>
      </c>
      <c r="BB27" s="48">
        <v>18</v>
      </c>
      <c r="BC27" s="48">
        <v>18</v>
      </c>
      <c r="BD27" s="72">
        <v>18</v>
      </c>
      <c r="BE27" s="231">
        <v>18</v>
      </c>
      <c r="BF27" s="177">
        <v>17.3</v>
      </c>
      <c r="BG27" s="177">
        <v>17</v>
      </c>
      <c r="BH27" s="63">
        <v>17</v>
      </c>
      <c r="BI27" s="63">
        <v>16.9</v>
      </c>
      <c r="BJ27" s="229">
        <v>16.9</v>
      </c>
      <c r="BK27" s="229">
        <v>16.9</v>
      </c>
      <c r="BL27" s="263">
        <v>16.9</v>
      </c>
      <c r="BM27" s="252">
        <v>16.8</v>
      </c>
      <c r="BN27" s="215">
        <v>15.6</v>
      </c>
      <c r="BO27" s="63">
        <v>15.6</v>
      </c>
      <c r="BP27" s="229">
        <v>15.6</v>
      </c>
      <c r="BQ27" s="229">
        <v>15.6</v>
      </c>
      <c r="BR27" s="263">
        <v>15.6</v>
      </c>
      <c r="BS27" s="263">
        <v>15.5</v>
      </c>
      <c r="BT27" s="270">
        <v>15.5</v>
      </c>
      <c r="BU27" s="270">
        <v>15.5</v>
      </c>
      <c r="BV27" s="229">
        <v>29.3</v>
      </c>
      <c r="BW27" s="229">
        <v>29.5</v>
      </c>
      <c r="BX27" s="263">
        <v>29.5</v>
      </c>
      <c r="BY27" s="263">
        <v>29.4</v>
      </c>
      <c r="BZ27" s="285">
        <v>29.4</v>
      </c>
      <c r="CA27" s="285">
        <v>29.3</v>
      </c>
      <c r="CB27" s="305">
        <v>29.3</v>
      </c>
      <c r="CC27" s="293">
        <v>29.3</v>
      </c>
      <c r="CD27" s="263">
        <v>38.2</v>
      </c>
      <c r="CE27" s="263">
        <v>38</v>
      </c>
      <c r="CF27" s="285">
        <v>38</v>
      </c>
      <c r="CG27" s="285">
        <v>37.9</v>
      </c>
      <c r="CH27" s="290">
        <v>37.9</v>
      </c>
      <c r="CI27" s="290">
        <v>37.8</v>
      </c>
      <c r="CJ27" s="367">
        <v>37.8</v>
      </c>
      <c r="CK27" s="263">
        <v>38.1</v>
      </c>
      <c r="CL27" s="263">
        <v>37.6</v>
      </c>
      <c r="CM27" s="285">
        <v>38.5</v>
      </c>
      <c r="CN27" s="285">
        <v>38.5</v>
      </c>
      <c r="CO27" s="354">
        <v>38.5</v>
      </c>
      <c r="CP27" s="303">
        <v>38.3</v>
      </c>
      <c r="CQ27" s="368">
        <v>38.3</v>
      </c>
      <c r="CR27" s="354">
        <v>40.7</v>
      </c>
      <c r="CS27" s="303">
        <v>40.5</v>
      </c>
      <c r="CT27" s="368">
        <v>40.5</v>
      </c>
      <c r="CU27" s="354">
        <f>47446*100/119397</f>
        <v>39.738016868095514</v>
      </c>
      <c r="CV27" s="303">
        <f>47329*100/119303</f>
        <v>39.671257219013775</v>
      </c>
      <c r="CW27" s="368">
        <v>39.4</v>
      </c>
      <c r="CX27" s="427">
        <f>52357*100/126037</f>
        <v>41.5409760625848</v>
      </c>
    </row>
    <row r="28" spans="2:102" ht="12.75">
      <c r="B28" s="13" t="s">
        <v>24</v>
      </c>
      <c r="C28" s="8"/>
      <c r="D28" s="48">
        <v>13.9</v>
      </c>
      <c r="E28" s="48"/>
      <c r="F28" s="72">
        <v>13.9</v>
      </c>
      <c r="G28" s="77"/>
      <c r="H28" s="25">
        <v>13.9</v>
      </c>
      <c r="I28" s="18">
        <v>12.9</v>
      </c>
      <c r="J28" s="64">
        <v>16</v>
      </c>
      <c r="K28" s="48"/>
      <c r="L28" s="72">
        <v>15.7</v>
      </c>
      <c r="M28" s="77"/>
      <c r="N28" s="25">
        <v>16.2</v>
      </c>
      <c r="O28" s="25">
        <v>14.9</v>
      </c>
      <c r="P28" s="91">
        <v>14.9</v>
      </c>
      <c r="Q28" s="92">
        <v>15</v>
      </c>
      <c r="R28" s="72">
        <v>15.2</v>
      </c>
      <c r="S28" s="77"/>
      <c r="T28" s="25">
        <v>15.5</v>
      </c>
      <c r="U28" s="25">
        <v>14.1</v>
      </c>
      <c r="V28" s="91">
        <v>14.1</v>
      </c>
      <c r="W28" s="91">
        <v>14.2</v>
      </c>
      <c r="X28" s="115">
        <v>13.5</v>
      </c>
      <c r="Y28" s="116">
        <v>13.5</v>
      </c>
      <c r="Z28" s="25">
        <v>15.6</v>
      </c>
      <c r="AA28" s="25">
        <v>14.4</v>
      </c>
      <c r="AB28" s="91">
        <v>14.4</v>
      </c>
      <c r="AC28" s="91">
        <v>14.6</v>
      </c>
      <c r="AD28" s="115">
        <v>14.4</v>
      </c>
      <c r="AE28" s="115">
        <v>14.4</v>
      </c>
      <c r="AF28" s="137">
        <v>14.4</v>
      </c>
      <c r="AG28" s="138">
        <v>14.4</v>
      </c>
      <c r="AH28" s="107">
        <v>14.4</v>
      </c>
      <c r="AI28" s="107">
        <v>14.7</v>
      </c>
      <c r="AJ28" s="130">
        <v>14.6</v>
      </c>
      <c r="AK28" s="130">
        <v>14.5</v>
      </c>
      <c r="AL28" s="154">
        <v>14.5</v>
      </c>
      <c r="AM28" s="154">
        <v>14.5</v>
      </c>
      <c r="AN28" s="177">
        <v>14.9</v>
      </c>
      <c r="AO28" s="191">
        <v>14.9</v>
      </c>
      <c r="AP28" s="130">
        <v>11.9</v>
      </c>
      <c r="AQ28" s="130">
        <v>12.1</v>
      </c>
      <c r="AR28" s="154">
        <v>12</v>
      </c>
      <c r="AS28" s="154">
        <v>12.5</v>
      </c>
      <c r="AT28" s="177">
        <v>12.4</v>
      </c>
      <c r="AU28" s="206">
        <v>12.4</v>
      </c>
      <c r="AV28" s="48">
        <v>12.4</v>
      </c>
      <c r="AW28" s="212">
        <v>12.4</v>
      </c>
      <c r="AX28" s="154">
        <v>10</v>
      </c>
      <c r="AY28" s="154">
        <v>10.6</v>
      </c>
      <c r="AZ28" s="176">
        <v>10.7</v>
      </c>
      <c r="BA28" s="176">
        <v>10.7</v>
      </c>
      <c r="BB28" s="63">
        <v>10.7</v>
      </c>
      <c r="BC28" s="63">
        <v>10.7</v>
      </c>
      <c r="BD28" s="229">
        <v>10.7</v>
      </c>
      <c r="BE28" s="232">
        <v>10.7</v>
      </c>
      <c r="BF28" s="176">
        <v>9.7</v>
      </c>
      <c r="BG28" s="184">
        <v>9.5</v>
      </c>
      <c r="BH28" s="48">
        <v>9</v>
      </c>
      <c r="BI28" s="48">
        <v>9</v>
      </c>
      <c r="BJ28" s="72">
        <v>9</v>
      </c>
      <c r="BK28" s="72">
        <v>9</v>
      </c>
      <c r="BL28" s="264">
        <v>9</v>
      </c>
      <c r="BM28" s="251">
        <v>9</v>
      </c>
      <c r="BN28" s="48">
        <v>19.5</v>
      </c>
      <c r="BO28" s="48">
        <v>19.5</v>
      </c>
      <c r="BP28" s="72">
        <v>19.5</v>
      </c>
      <c r="BQ28" s="72">
        <v>19.7</v>
      </c>
      <c r="BR28" s="264">
        <v>19.7</v>
      </c>
      <c r="BS28" s="264">
        <v>19.8</v>
      </c>
      <c r="BT28" s="270">
        <v>19.8</v>
      </c>
      <c r="BU28" s="270">
        <v>19.8</v>
      </c>
      <c r="BV28" s="72">
        <v>36.1</v>
      </c>
      <c r="BW28" s="72">
        <v>36.7</v>
      </c>
      <c r="BX28" s="264">
        <v>36.7</v>
      </c>
      <c r="BY28" s="264">
        <v>36.7</v>
      </c>
      <c r="BZ28" s="285">
        <v>36.7</v>
      </c>
      <c r="CA28" s="285">
        <v>36.7</v>
      </c>
      <c r="CB28" s="303">
        <v>36.9</v>
      </c>
      <c r="CC28" s="294">
        <v>36.9</v>
      </c>
      <c r="CD28" s="264">
        <v>44.7</v>
      </c>
      <c r="CE28" s="264">
        <v>44.7</v>
      </c>
      <c r="CF28" s="285">
        <v>44.7</v>
      </c>
      <c r="CG28" s="285">
        <v>44.5</v>
      </c>
      <c r="CH28" s="354">
        <v>44.4</v>
      </c>
      <c r="CI28" s="354">
        <v>44.4</v>
      </c>
      <c r="CJ28" s="368">
        <v>44.5</v>
      </c>
      <c r="CK28" s="264">
        <v>49.4</v>
      </c>
      <c r="CL28" s="264">
        <v>46.1</v>
      </c>
      <c r="CM28" s="285">
        <v>42.6</v>
      </c>
      <c r="CN28" s="285">
        <v>42.2</v>
      </c>
      <c r="CO28" s="354">
        <v>41.9</v>
      </c>
      <c r="CP28" s="303">
        <v>41.9</v>
      </c>
      <c r="CQ28" s="368">
        <v>42</v>
      </c>
      <c r="CR28" s="354">
        <v>40.7</v>
      </c>
      <c r="CS28" s="303">
        <v>40.6</v>
      </c>
      <c r="CT28" s="368">
        <v>40.8</v>
      </c>
      <c r="CU28" s="354">
        <f>7296*100/16382</f>
        <v>44.53668660725186</v>
      </c>
      <c r="CV28" s="303">
        <f>7230*100/16333</f>
        <v>44.26620951447989</v>
      </c>
      <c r="CW28" s="368">
        <v>38.1</v>
      </c>
      <c r="CX28" s="427">
        <f>9584*100/24712</f>
        <v>38.78277759792813</v>
      </c>
    </row>
    <row r="29" spans="2:102" ht="12.75">
      <c r="B29" s="13" t="s">
        <v>25</v>
      </c>
      <c r="C29" s="8"/>
      <c r="D29" s="48">
        <v>60.7</v>
      </c>
      <c r="E29" s="48"/>
      <c r="F29" s="72">
        <v>61.3</v>
      </c>
      <c r="G29" s="77"/>
      <c r="H29" s="25">
        <v>57.1</v>
      </c>
      <c r="I29" s="18">
        <v>56.4</v>
      </c>
      <c r="J29" s="64">
        <v>65.7</v>
      </c>
      <c r="K29" s="63"/>
      <c r="L29" s="72">
        <v>66.1</v>
      </c>
      <c r="M29" s="77"/>
      <c r="N29" s="25">
        <v>61.8</v>
      </c>
      <c r="O29" s="25">
        <v>62.2</v>
      </c>
      <c r="P29" s="91">
        <v>62.4</v>
      </c>
      <c r="Q29" s="92">
        <v>63.5</v>
      </c>
      <c r="R29" s="72">
        <v>66.4</v>
      </c>
      <c r="S29" s="77"/>
      <c r="T29" s="25">
        <v>61.7</v>
      </c>
      <c r="U29" s="25">
        <v>62.7</v>
      </c>
      <c r="V29" s="91">
        <v>62.7</v>
      </c>
      <c r="W29" s="91">
        <v>63.3</v>
      </c>
      <c r="X29" s="115">
        <v>61.2</v>
      </c>
      <c r="Y29" s="116">
        <v>60.1</v>
      </c>
      <c r="Z29" s="25">
        <v>72</v>
      </c>
      <c r="AA29" s="25">
        <v>71.1</v>
      </c>
      <c r="AB29" s="91">
        <v>71.8</v>
      </c>
      <c r="AC29" s="91">
        <v>72.8</v>
      </c>
      <c r="AD29" s="115">
        <v>71.3</v>
      </c>
      <c r="AE29" s="115">
        <v>70.2</v>
      </c>
      <c r="AF29" s="137">
        <v>70.4</v>
      </c>
      <c r="AG29" s="138">
        <v>69.3</v>
      </c>
      <c r="AH29" s="107">
        <v>75</v>
      </c>
      <c r="AI29" s="107">
        <v>75.9</v>
      </c>
      <c r="AJ29" s="130">
        <v>76.2</v>
      </c>
      <c r="AK29" s="130">
        <v>74.9</v>
      </c>
      <c r="AL29" s="154">
        <v>73.9</v>
      </c>
      <c r="AM29" s="154">
        <v>72.7</v>
      </c>
      <c r="AN29" s="177">
        <v>72.6</v>
      </c>
      <c r="AO29" s="191">
        <v>72.1</v>
      </c>
      <c r="AP29" s="130">
        <v>74.7</v>
      </c>
      <c r="AQ29" s="130">
        <v>74.2</v>
      </c>
      <c r="AR29" s="154">
        <v>72.4</v>
      </c>
      <c r="AS29" s="154">
        <v>70.8</v>
      </c>
      <c r="AT29" s="177">
        <v>70.4</v>
      </c>
      <c r="AU29" s="206">
        <v>69.9</v>
      </c>
      <c r="AV29" s="63">
        <v>69.8</v>
      </c>
      <c r="AW29" s="213">
        <v>70.2</v>
      </c>
      <c r="AX29" s="154">
        <v>66.5</v>
      </c>
      <c r="AY29" s="154">
        <v>64.7</v>
      </c>
      <c r="AZ29" s="177">
        <v>64.2</v>
      </c>
      <c r="BA29" s="177">
        <v>63.8</v>
      </c>
      <c r="BB29" s="48">
        <v>63.7</v>
      </c>
      <c r="BC29" s="48">
        <v>63.6</v>
      </c>
      <c r="BD29" s="72">
        <v>63.7</v>
      </c>
      <c r="BE29" s="231">
        <v>63.4</v>
      </c>
      <c r="BF29" s="177">
        <v>62.6</v>
      </c>
      <c r="BG29" s="177">
        <v>62.2</v>
      </c>
      <c r="BH29" s="63">
        <v>62.1</v>
      </c>
      <c r="BI29" s="63">
        <v>62</v>
      </c>
      <c r="BJ29" s="229">
        <v>61.9</v>
      </c>
      <c r="BK29" s="229">
        <v>61.7</v>
      </c>
      <c r="BL29" s="263">
        <v>62</v>
      </c>
      <c r="BM29" s="252">
        <v>62.1</v>
      </c>
      <c r="BN29" s="215">
        <v>64.1</v>
      </c>
      <c r="BO29" s="63">
        <v>63.8</v>
      </c>
      <c r="BP29" s="229">
        <v>63.7</v>
      </c>
      <c r="BQ29" s="229">
        <v>63.1</v>
      </c>
      <c r="BR29" s="263">
        <v>61.5</v>
      </c>
      <c r="BS29" s="263">
        <v>62.2</v>
      </c>
      <c r="BT29" s="270">
        <v>62.3</v>
      </c>
      <c r="BU29" s="270">
        <v>62</v>
      </c>
      <c r="BV29" s="229">
        <v>69.1</v>
      </c>
      <c r="BW29" s="229">
        <v>68.6</v>
      </c>
      <c r="BX29" s="263">
        <v>67.6</v>
      </c>
      <c r="BY29" s="263">
        <v>67.8</v>
      </c>
      <c r="BZ29" s="285">
        <v>68.1</v>
      </c>
      <c r="CA29" s="285">
        <v>67.6</v>
      </c>
      <c r="CB29" s="305">
        <v>66.4</v>
      </c>
      <c r="CC29" s="293">
        <v>66.5</v>
      </c>
      <c r="CD29" s="263">
        <v>68</v>
      </c>
      <c r="CE29" s="263">
        <v>69</v>
      </c>
      <c r="CF29" s="285">
        <v>69.4</v>
      </c>
      <c r="CG29" s="285">
        <v>68.3</v>
      </c>
      <c r="CH29" s="290">
        <v>67.4</v>
      </c>
      <c r="CI29" s="290">
        <v>66.8</v>
      </c>
      <c r="CJ29" s="367">
        <v>66</v>
      </c>
      <c r="CK29" s="263">
        <v>67.9</v>
      </c>
      <c r="CL29" s="263">
        <v>68.8</v>
      </c>
      <c r="CM29" s="285">
        <v>72</v>
      </c>
      <c r="CN29" s="285">
        <v>70.9</v>
      </c>
      <c r="CO29" s="354">
        <v>70.3</v>
      </c>
      <c r="CP29" s="303">
        <v>69.5</v>
      </c>
      <c r="CQ29" s="368">
        <v>68.8</v>
      </c>
      <c r="CR29" s="354">
        <v>72.1</v>
      </c>
      <c r="CS29" s="303">
        <v>71.3</v>
      </c>
      <c r="CT29" s="368">
        <v>70.8</v>
      </c>
      <c r="CU29" s="354">
        <f>5181*100/6979</f>
        <v>74.2369967043989</v>
      </c>
      <c r="CV29" s="303">
        <f>5181*100/7082</f>
        <v>73.15730019768426</v>
      </c>
      <c r="CW29" s="368">
        <v>73</v>
      </c>
      <c r="CX29" s="427">
        <f>5224*100/7524</f>
        <v>69.43115364167996</v>
      </c>
    </row>
    <row r="30" spans="2:102" ht="12.75">
      <c r="B30" s="13" t="s">
        <v>26</v>
      </c>
      <c r="C30" s="8"/>
      <c r="D30" s="48">
        <v>38.7</v>
      </c>
      <c r="E30" s="48"/>
      <c r="F30" s="72">
        <v>37.2</v>
      </c>
      <c r="G30" s="77"/>
      <c r="H30" s="25">
        <v>36.6</v>
      </c>
      <c r="I30" s="18">
        <v>36.6</v>
      </c>
      <c r="J30" s="64">
        <v>39.3</v>
      </c>
      <c r="K30" s="48"/>
      <c r="L30" s="72">
        <v>37.3</v>
      </c>
      <c r="M30" s="77"/>
      <c r="N30" s="25">
        <v>36.7</v>
      </c>
      <c r="O30" s="25">
        <v>36.7</v>
      </c>
      <c r="P30" s="91">
        <v>36.7</v>
      </c>
      <c r="Q30" s="92">
        <v>36.7</v>
      </c>
      <c r="R30" s="72">
        <v>41.8</v>
      </c>
      <c r="S30" s="77"/>
      <c r="T30" s="25">
        <v>41.2</v>
      </c>
      <c r="U30" s="25">
        <v>41.1</v>
      </c>
      <c r="V30" s="91">
        <v>41.2</v>
      </c>
      <c r="W30" s="91">
        <v>41.2</v>
      </c>
      <c r="X30" s="115">
        <v>39.8</v>
      </c>
      <c r="Y30" s="116">
        <v>39.8</v>
      </c>
      <c r="Z30" s="25">
        <v>45.4</v>
      </c>
      <c r="AA30" s="25">
        <v>45.4</v>
      </c>
      <c r="AB30" s="91">
        <v>45.4</v>
      </c>
      <c r="AC30" s="91">
        <v>45.3</v>
      </c>
      <c r="AD30" s="115">
        <v>43.9</v>
      </c>
      <c r="AE30" s="115">
        <v>43.9</v>
      </c>
      <c r="AF30" s="137">
        <v>47.1</v>
      </c>
      <c r="AG30" s="138">
        <v>47.1</v>
      </c>
      <c r="AH30" s="107">
        <v>43.6</v>
      </c>
      <c r="AI30" s="107">
        <v>43.6</v>
      </c>
      <c r="AJ30" s="130">
        <v>41.9</v>
      </c>
      <c r="AK30" s="130">
        <v>41.9</v>
      </c>
      <c r="AL30" s="154">
        <v>45.7</v>
      </c>
      <c r="AM30" s="154">
        <v>45.7</v>
      </c>
      <c r="AN30" s="177">
        <v>45.7</v>
      </c>
      <c r="AO30" s="191">
        <v>45.7</v>
      </c>
      <c r="AP30" s="130">
        <v>42.5</v>
      </c>
      <c r="AQ30" s="130">
        <v>42</v>
      </c>
      <c r="AR30" s="154">
        <v>47.1</v>
      </c>
      <c r="AS30" s="154">
        <v>47.1</v>
      </c>
      <c r="AT30" s="177">
        <v>47.1</v>
      </c>
      <c r="AU30" s="206">
        <v>47.1</v>
      </c>
      <c r="AV30" s="48">
        <v>47.1</v>
      </c>
      <c r="AW30" s="212">
        <v>47.1</v>
      </c>
      <c r="AX30" s="154">
        <v>47.8</v>
      </c>
      <c r="AY30" s="154">
        <v>47.6</v>
      </c>
      <c r="AZ30" s="177">
        <v>47.6</v>
      </c>
      <c r="BA30" s="177">
        <v>47.7</v>
      </c>
      <c r="BB30" s="63">
        <v>47.7</v>
      </c>
      <c r="BC30" s="63">
        <v>47.7</v>
      </c>
      <c r="BD30" s="229">
        <v>47.7</v>
      </c>
      <c r="BE30" s="232">
        <v>47.7</v>
      </c>
      <c r="BF30" s="177">
        <v>45.2</v>
      </c>
      <c r="BG30" s="177">
        <v>44.9</v>
      </c>
      <c r="BH30" s="48">
        <v>44.9</v>
      </c>
      <c r="BI30" s="48">
        <v>45</v>
      </c>
      <c r="BJ30" s="72">
        <v>45</v>
      </c>
      <c r="BK30" s="72">
        <v>45</v>
      </c>
      <c r="BL30" s="264">
        <v>45</v>
      </c>
      <c r="BM30" s="251">
        <v>45</v>
      </c>
      <c r="BN30" s="48">
        <v>47.1</v>
      </c>
      <c r="BO30" s="48">
        <v>47.2</v>
      </c>
      <c r="BP30" s="72">
        <v>47.2</v>
      </c>
      <c r="BQ30" s="72">
        <v>47.1</v>
      </c>
      <c r="BR30" s="264">
        <v>47.1</v>
      </c>
      <c r="BS30" s="264">
        <v>47.1</v>
      </c>
      <c r="BT30" s="270">
        <v>47.1</v>
      </c>
      <c r="BU30" s="270">
        <v>47.1</v>
      </c>
      <c r="BV30" s="72">
        <v>51</v>
      </c>
      <c r="BW30" s="72">
        <v>50.9</v>
      </c>
      <c r="BX30" s="264">
        <v>50.9</v>
      </c>
      <c r="BY30" s="264">
        <v>50.9</v>
      </c>
      <c r="BZ30" s="285">
        <v>50.9</v>
      </c>
      <c r="CA30" s="285">
        <v>50.9</v>
      </c>
      <c r="CB30" s="303">
        <v>50.9</v>
      </c>
      <c r="CC30" s="294">
        <v>50.9</v>
      </c>
      <c r="CD30" s="264">
        <v>55</v>
      </c>
      <c r="CE30" s="264">
        <v>54.9</v>
      </c>
      <c r="CF30" s="285">
        <v>54.8</v>
      </c>
      <c r="CG30" s="285">
        <v>54.8</v>
      </c>
      <c r="CH30" s="354">
        <v>54.8</v>
      </c>
      <c r="CI30" s="354">
        <v>54.9</v>
      </c>
      <c r="CJ30" s="368">
        <v>54.9</v>
      </c>
      <c r="CK30" s="264">
        <v>54.9</v>
      </c>
      <c r="CL30" s="264">
        <v>57</v>
      </c>
      <c r="CM30" s="285">
        <v>56.3</v>
      </c>
      <c r="CN30" s="285">
        <v>56.4</v>
      </c>
      <c r="CO30" s="354">
        <v>56.2</v>
      </c>
      <c r="CP30" s="303">
        <v>56.2</v>
      </c>
      <c r="CQ30" s="368">
        <v>56.2</v>
      </c>
      <c r="CR30" s="354">
        <v>55.6</v>
      </c>
      <c r="CS30" s="303">
        <v>55.6</v>
      </c>
      <c r="CT30" s="368">
        <v>55.6</v>
      </c>
      <c r="CU30" s="354">
        <f>916836*100/1642912</f>
        <v>55.805545275705576</v>
      </c>
      <c r="CV30" s="303">
        <f>952088*100/1642912</f>
        <v>57.95124754095168</v>
      </c>
      <c r="CW30" s="368">
        <v>57</v>
      </c>
      <c r="CX30" s="427">
        <f>841883*100/1704568</f>
        <v>49.38981607069944</v>
      </c>
    </row>
    <row r="31" spans="2:102" ht="12.75">
      <c r="B31" s="13" t="s">
        <v>28</v>
      </c>
      <c r="C31" s="8"/>
      <c r="D31" s="48">
        <v>45.2</v>
      </c>
      <c r="E31" s="48"/>
      <c r="F31" s="72">
        <v>46.9</v>
      </c>
      <c r="G31" s="77"/>
      <c r="H31" s="25">
        <v>49.9</v>
      </c>
      <c r="I31" s="18">
        <v>49.9</v>
      </c>
      <c r="J31" s="64">
        <v>44.1</v>
      </c>
      <c r="K31" s="48"/>
      <c r="L31" s="72">
        <v>48.1</v>
      </c>
      <c r="M31" s="77"/>
      <c r="N31" s="25">
        <v>48.7</v>
      </c>
      <c r="O31" s="25">
        <v>48.7</v>
      </c>
      <c r="P31" s="91">
        <v>48.7</v>
      </c>
      <c r="Q31" s="92">
        <v>49.2</v>
      </c>
      <c r="R31" s="72">
        <v>42.6</v>
      </c>
      <c r="S31" s="77"/>
      <c r="T31" s="25">
        <v>43.3</v>
      </c>
      <c r="U31" s="25">
        <v>43.3</v>
      </c>
      <c r="V31" s="91">
        <v>43.3</v>
      </c>
      <c r="W31" s="91">
        <v>43.7</v>
      </c>
      <c r="X31" s="115">
        <v>43.3</v>
      </c>
      <c r="Y31" s="116">
        <v>43.3</v>
      </c>
      <c r="Z31" s="25">
        <v>42.8</v>
      </c>
      <c r="AA31" s="25">
        <v>42.6</v>
      </c>
      <c r="AB31" s="91">
        <v>42.6</v>
      </c>
      <c r="AC31" s="91">
        <v>43.1</v>
      </c>
      <c r="AD31" s="115">
        <v>42.7</v>
      </c>
      <c r="AE31" s="115">
        <v>42.7</v>
      </c>
      <c r="AF31" s="137">
        <v>42.4</v>
      </c>
      <c r="AG31" s="138">
        <v>42.4</v>
      </c>
      <c r="AH31" s="107">
        <v>43.6</v>
      </c>
      <c r="AI31" s="107">
        <v>42.5</v>
      </c>
      <c r="AJ31" s="130">
        <v>41.6</v>
      </c>
      <c r="AK31" s="130">
        <v>41.6</v>
      </c>
      <c r="AL31" s="154">
        <v>41.5</v>
      </c>
      <c r="AM31" s="154">
        <v>41.4</v>
      </c>
      <c r="AN31" s="177">
        <v>41.4</v>
      </c>
      <c r="AO31" s="191">
        <v>41.4</v>
      </c>
      <c r="AP31" s="130">
        <v>34.5</v>
      </c>
      <c r="AQ31" s="130">
        <v>34.5</v>
      </c>
      <c r="AR31" s="154">
        <v>34.5</v>
      </c>
      <c r="AS31" s="154">
        <v>34.2</v>
      </c>
      <c r="AT31" s="177">
        <v>34.2</v>
      </c>
      <c r="AU31" s="206">
        <v>34.2</v>
      </c>
      <c r="AV31" s="48">
        <v>34.2</v>
      </c>
      <c r="AW31" s="212">
        <v>34.2</v>
      </c>
      <c r="AX31" s="154">
        <v>30.7</v>
      </c>
      <c r="AY31" s="154">
        <v>30.4</v>
      </c>
      <c r="AZ31" s="177">
        <v>30.4</v>
      </c>
      <c r="BA31" s="177">
        <v>30.4</v>
      </c>
      <c r="BB31" s="48">
        <v>30.4</v>
      </c>
      <c r="BC31" s="48">
        <v>30.5</v>
      </c>
      <c r="BD31" s="72">
        <v>30.5</v>
      </c>
      <c r="BE31" s="231">
        <v>30.5</v>
      </c>
      <c r="BF31" s="177">
        <v>29.4</v>
      </c>
      <c r="BG31" s="177">
        <v>29.4</v>
      </c>
      <c r="BH31" s="48">
        <v>29.4</v>
      </c>
      <c r="BI31" s="48">
        <v>29.3</v>
      </c>
      <c r="BJ31" s="72">
        <v>29.3</v>
      </c>
      <c r="BK31" s="72">
        <v>29.6</v>
      </c>
      <c r="BL31" s="264">
        <v>29.6</v>
      </c>
      <c r="BM31" s="251">
        <v>29.6</v>
      </c>
      <c r="BN31" s="48">
        <v>27.6</v>
      </c>
      <c r="BO31" s="48">
        <v>27.7</v>
      </c>
      <c r="BP31" s="72">
        <v>27.7</v>
      </c>
      <c r="BQ31" s="72">
        <v>27.8</v>
      </c>
      <c r="BR31" s="264">
        <v>27.8</v>
      </c>
      <c r="BS31" s="264">
        <v>27.8</v>
      </c>
      <c r="BT31" s="270">
        <v>27.9</v>
      </c>
      <c r="BU31" s="270">
        <v>27.9</v>
      </c>
      <c r="BV31" s="72">
        <v>35.7</v>
      </c>
      <c r="BW31" s="72">
        <v>35.4</v>
      </c>
      <c r="BX31" s="264">
        <v>35.4</v>
      </c>
      <c r="BY31" s="264">
        <v>35.5</v>
      </c>
      <c r="BZ31" s="285">
        <v>35.6</v>
      </c>
      <c r="CA31" s="285">
        <v>35.6</v>
      </c>
      <c r="CB31" s="303">
        <v>35.6</v>
      </c>
      <c r="CC31" s="294">
        <v>35.6</v>
      </c>
      <c r="CD31" s="264">
        <v>41</v>
      </c>
      <c r="CE31" s="264">
        <v>41</v>
      </c>
      <c r="CF31" s="285">
        <v>41.1</v>
      </c>
      <c r="CG31" s="285">
        <v>41</v>
      </c>
      <c r="CH31" s="354">
        <v>41</v>
      </c>
      <c r="CI31" s="354">
        <v>41</v>
      </c>
      <c r="CJ31" s="368">
        <v>41</v>
      </c>
      <c r="CK31" s="264">
        <v>44.1</v>
      </c>
      <c r="CL31" s="264">
        <v>44.2</v>
      </c>
      <c r="CM31" s="285">
        <v>43.3</v>
      </c>
      <c r="CN31" s="285">
        <v>43.3</v>
      </c>
      <c r="CO31" s="354">
        <v>43.3</v>
      </c>
      <c r="CP31" s="303">
        <v>43.4</v>
      </c>
      <c r="CQ31" s="368">
        <v>43.6</v>
      </c>
      <c r="CR31" s="354">
        <v>52.1</v>
      </c>
      <c r="CS31" s="303">
        <v>52.4</v>
      </c>
      <c r="CT31" s="368">
        <v>52.7</v>
      </c>
      <c r="CU31" s="354">
        <f>40431*100/74372</f>
        <v>54.363201204754475</v>
      </c>
      <c r="CV31" s="303">
        <f>39802*100/72987</f>
        <v>54.53299902722403</v>
      </c>
      <c r="CW31" s="368">
        <v>55.4</v>
      </c>
      <c r="CX31" s="427">
        <f>42842*100/75773</f>
        <v>56.539928470563396</v>
      </c>
    </row>
    <row r="32" spans="2:102" ht="13.5" thickBot="1">
      <c r="B32" s="274" t="s">
        <v>29</v>
      </c>
      <c r="C32" s="22"/>
      <c r="D32" s="61">
        <v>27.6</v>
      </c>
      <c r="E32" s="61"/>
      <c r="F32" s="78">
        <v>27.6</v>
      </c>
      <c r="G32" s="79"/>
      <c r="H32" s="26">
        <v>26.7</v>
      </c>
      <c r="I32" s="23">
        <v>27.4</v>
      </c>
      <c r="J32" s="65">
        <v>27.5</v>
      </c>
      <c r="K32" s="49"/>
      <c r="L32" s="78">
        <v>27.5</v>
      </c>
      <c r="M32" s="79"/>
      <c r="N32" s="26">
        <v>26.9</v>
      </c>
      <c r="O32" s="26">
        <v>28.1</v>
      </c>
      <c r="P32" s="100">
        <v>28.1</v>
      </c>
      <c r="Q32" s="101">
        <v>28.4</v>
      </c>
      <c r="R32" s="78">
        <v>28.3</v>
      </c>
      <c r="S32" s="79"/>
      <c r="T32" s="26">
        <v>27.8</v>
      </c>
      <c r="U32" s="26">
        <v>29.5</v>
      </c>
      <c r="V32" s="100">
        <v>29.5</v>
      </c>
      <c r="W32" s="100">
        <v>29.8</v>
      </c>
      <c r="X32" s="123">
        <v>29.7</v>
      </c>
      <c r="Y32" s="124">
        <v>29.1</v>
      </c>
      <c r="Z32" s="26">
        <v>27.1</v>
      </c>
      <c r="AA32" s="26">
        <v>29.5</v>
      </c>
      <c r="AB32" s="100">
        <v>29.4</v>
      </c>
      <c r="AC32" s="100">
        <v>29.4</v>
      </c>
      <c r="AD32" s="123">
        <v>29.1</v>
      </c>
      <c r="AE32" s="123">
        <v>28.5</v>
      </c>
      <c r="AF32" s="145">
        <v>28.6</v>
      </c>
      <c r="AG32" s="146">
        <v>27.9</v>
      </c>
      <c r="AH32" s="108">
        <v>29.4</v>
      </c>
      <c r="AI32" s="108">
        <v>29.8</v>
      </c>
      <c r="AJ32" s="131">
        <v>29.5</v>
      </c>
      <c r="AK32" s="131">
        <v>28.7</v>
      </c>
      <c r="AL32" s="155">
        <v>28.9</v>
      </c>
      <c r="AM32" s="155">
        <v>27.6</v>
      </c>
      <c r="AN32" s="180">
        <v>27.6</v>
      </c>
      <c r="AO32" s="192">
        <v>27.2</v>
      </c>
      <c r="AP32" s="131">
        <v>29.1</v>
      </c>
      <c r="AQ32" s="131">
        <v>28</v>
      </c>
      <c r="AR32" s="160">
        <v>28.4</v>
      </c>
      <c r="AS32" s="155">
        <v>27.4</v>
      </c>
      <c r="AT32" s="182">
        <v>27.5</v>
      </c>
      <c r="AU32" s="205">
        <v>27</v>
      </c>
      <c r="AV32" s="49">
        <v>27</v>
      </c>
      <c r="AW32" s="214">
        <v>27</v>
      </c>
      <c r="AX32" s="160">
        <v>27.8</v>
      </c>
      <c r="AY32" s="155">
        <v>27.1</v>
      </c>
      <c r="AZ32" s="180">
        <v>27.2</v>
      </c>
      <c r="BA32" s="180">
        <v>26.7</v>
      </c>
      <c r="BB32" s="49">
        <v>26.7</v>
      </c>
      <c r="BC32" s="49">
        <v>26.7</v>
      </c>
      <c r="BD32" s="73">
        <v>26.7</v>
      </c>
      <c r="BE32" s="233">
        <v>26.7</v>
      </c>
      <c r="BF32" s="180">
        <v>24.1</v>
      </c>
      <c r="BG32" s="180">
        <v>23.4</v>
      </c>
      <c r="BH32" s="49">
        <v>23.4</v>
      </c>
      <c r="BI32" s="49">
        <v>23.3</v>
      </c>
      <c r="BJ32" s="73">
        <v>23.4</v>
      </c>
      <c r="BK32" s="73">
        <v>23.4</v>
      </c>
      <c r="BL32" s="266">
        <v>23.1</v>
      </c>
      <c r="BM32" s="254">
        <v>23.1</v>
      </c>
      <c r="BN32" s="49">
        <v>22.8</v>
      </c>
      <c r="BO32" s="49">
        <v>22.5</v>
      </c>
      <c r="BP32" s="73">
        <v>22.6</v>
      </c>
      <c r="BQ32" s="73">
        <v>22.5</v>
      </c>
      <c r="BR32" s="266">
        <v>21.9</v>
      </c>
      <c r="BS32" s="266">
        <v>21.9</v>
      </c>
      <c r="BT32" s="272">
        <v>21.9</v>
      </c>
      <c r="BU32" s="272">
        <v>22</v>
      </c>
      <c r="BV32" s="73">
        <v>35.9</v>
      </c>
      <c r="BW32" s="73">
        <v>35.4</v>
      </c>
      <c r="BX32" s="266">
        <v>35.2</v>
      </c>
      <c r="BY32" s="266">
        <v>35.3</v>
      </c>
      <c r="BZ32" s="287">
        <v>35.3</v>
      </c>
      <c r="CA32" s="287">
        <v>35</v>
      </c>
      <c r="CB32" s="306">
        <v>35</v>
      </c>
      <c r="CC32" s="295">
        <v>35.2</v>
      </c>
      <c r="CD32" s="266">
        <v>38</v>
      </c>
      <c r="CE32" s="266">
        <v>38.8</v>
      </c>
      <c r="CF32" s="287">
        <v>38.8</v>
      </c>
      <c r="CG32" s="287">
        <v>38.6</v>
      </c>
      <c r="CH32" s="356">
        <v>38.6</v>
      </c>
      <c r="CI32" s="356">
        <v>38.7</v>
      </c>
      <c r="CJ32" s="370">
        <v>38.7</v>
      </c>
      <c r="CK32" s="266">
        <v>43.3</v>
      </c>
      <c r="CL32" s="266">
        <v>45.1</v>
      </c>
      <c r="CM32" s="287">
        <v>47.6</v>
      </c>
      <c r="CN32" s="287">
        <v>46.9</v>
      </c>
      <c r="CO32" s="381">
        <v>46.9</v>
      </c>
      <c r="CP32" s="310">
        <v>47.1</v>
      </c>
      <c r="CQ32" s="394">
        <v>47.1</v>
      </c>
      <c r="CR32" s="381">
        <v>54.1</v>
      </c>
      <c r="CS32" s="310">
        <v>54.4</v>
      </c>
      <c r="CT32" s="394">
        <v>54.4</v>
      </c>
      <c r="CU32" s="381">
        <f>21105*100/35495</f>
        <v>59.459078743484994</v>
      </c>
      <c r="CV32" s="310">
        <f>22044*100/34908</f>
        <v>63.148848401512545</v>
      </c>
      <c r="CW32" s="397">
        <v>71.7</v>
      </c>
      <c r="CX32" s="397">
        <f>28816*100/35634</f>
        <v>80.86658809002638</v>
      </c>
    </row>
    <row r="33" spans="2:102" ht="13.5" thickTop="1">
      <c r="B33" s="7" t="s">
        <v>20</v>
      </c>
      <c r="C33" s="2"/>
      <c r="D33" s="46">
        <v>73.6</v>
      </c>
      <c r="E33" s="46"/>
      <c r="F33" s="71">
        <v>73.6</v>
      </c>
      <c r="G33" s="76"/>
      <c r="H33" s="24"/>
      <c r="I33" s="21"/>
      <c r="J33" s="62">
        <v>66.3</v>
      </c>
      <c r="K33" s="63"/>
      <c r="L33" s="71">
        <v>66.4</v>
      </c>
      <c r="M33" s="76"/>
      <c r="N33" s="24"/>
      <c r="O33" s="24"/>
      <c r="P33" s="102"/>
      <c r="Q33" s="99"/>
      <c r="R33" s="71">
        <v>53</v>
      </c>
      <c r="S33" s="76"/>
      <c r="T33" s="24"/>
      <c r="U33" s="24"/>
      <c r="V33" s="102"/>
      <c r="W33" s="102"/>
      <c r="X33" s="113"/>
      <c r="Y33" s="125"/>
      <c r="Z33" s="24"/>
      <c r="AA33" s="24"/>
      <c r="AB33" s="102"/>
      <c r="AC33" s="102"/>
      <c r="AD33" s="113"/>
      <c r="AE33" s="113"/>
      <c r="AF33" s="135">
        <v>45.9</v>
      </c>
      <c r="AG33" s="147">
        <v>45.9</v>
      </c>
      <c r="AH33" s="106"/>
      <c r="AI33" s="106"/>
      <c r="AJ33" s="129"/>
      <c r="AK33" s="129"/>
      <c r="AL33" s="153">
        <v>37.9</v>
      </c>
      <c r="AM33" s="153">
        <v>37.9</v>
      </c>
      <c r="AN33" s="176">
        <v>37.9</v>
      </c>
      <c r="AO33" s="190">
        <v>37.9</v>
      </c>
      <c r="AP33" s="129"/>
      <c r="AQ33" s="129"/>
      <c r="AR33" s="152">
        <v>29.2</v>
      </c>
      <c r="AS33" s="153">
        <v>29.2</v>
      </c>
      <c r="AT33" s="183">
        <v>29.2</v>
      </c>
      <c r="AU33" s="207">
        <v>29.2</v>
      </c>
      <c r="AV33" s="63">
        <v>29.2</v>
      </c>
      <c r="AW33" s="213">
        <v>29.2</v>
      </c>
      <c r="AX33" s="152">
        <v>22.8</v>
      </c>
      <c r="AY33" s="153">
        <v>22.8</v>
      </c>
      <c r="AZ33" s="176">
        <v>22.7</v>
      </c>
      <c r="BA33" s="176">
        <v>22.7</v>
      </c>
      <c r="BB33" s="63">
        <v>22.7</v>
      </c>
      <c r="BC33" s="63">
        <v>22.7</v>
      </c>
      <c r="BD33" s="229">
        <v>22.7</v>
      </c>
      <c r="BE33" s="232">
        <v>21.6</v>
      </c>
      <c r="BF33" s="176">
        <v>18.2</v>
      </c>
      <c r="BG33" s="184">
        <v>18.2</v>
      </c>
      <c r="BH33" s="63">
        <v>18.2</v>
      </c>
      <c r="BI33" s="63">
        <v>18.2</v>
      </c>
      <c r="BJ33" s="229">
        <v>18.2</v>
      </c>
      <c r="BK33" s="229">
        <v>17.2</v>
      </c>
      <c r="BL33" s="263">
        <v>17.2</v>
      </c>
      <c r="BM33" s="252">
        <v>17.2</v>
      </c>
      <c r="BN33" s="215">
        <v>14.1</v>
      </c>
      <c r="BO33" s="63">
        <v>14.1</v>
      </c>
      <c r="BP33" s="229">
        <v>14.1</v>
      </c>
      <c r="BQ33" s="229">
        <v>13.7</v>
      </c>
      <c r="BR33" s="263">
        <v>13.7</v>
      </c>
      <c r="BS33" s="263">
        <v>13.7</v>
      </c>
      <c r="BT33" s="273">
        <v>13.7</v>
      </c>
      <c r="BU33" s="273">
        <v>13.7</v>
      </c>
      <c r="BV33" s="229">
        <v>14.8</v>
      </c>
      <c r="BW33" s="229">
        <v>14.7</v>
      </c>
      <c r="BX33" s="263">
        <v>14.6</v>
      </c>
      <c r="BY33" s="263">
        <v>14.6</v>
      </c>
      <c r="BZ33" s="284">
        <v>14.6</v>
      </c>
      <c r="CA33" s="284">
        <v>14.6</v>
      </c>
      <c r="CB33" s="305">
        <v>14.6</v>
      </c>
      <c r="CC33" s="293">
        <v>14.6</v>
      </c>
      <c r="CD33" s="263">
        <v>16.2</v>
      </c>
      <c r="CE33" s="263">
        <v>16.3</v>
      </c>
      <c r="CF33" s="284">
        <v>16.3</v>
      </c>
      <c r="CG33" s="284">
        <v>16.2</v>
      </c>
      <c r="CH33" s="290">
        <v>16.2</v>
      </c>
      <c r="CI33" s="290">
        <v>16.2</v>
      </c>
      <c r="CJ33" s="367">
        <v>16.2</v>
      </c>
      <c r="CK33" s="263">
        <v>16.4</v>
      </c>
      <c r="CL33" s="263">
        <v>16.4</v>
      </c>
      <c r="CM33" s="297">
        <v>16.3</v>
      </c>
      <c r="CN33" s="297">
        <v>16.3</v>
      </c>
      <c r="CO33" s="382">
        <v>16.3</v>
      </c>
      <c r="CP33" s="311">
        <v>16.3</v>
      </c>
      <c r="CQ33" s="395">
        <v>16.3</v>
      </c>
      <c r="CR33" s="382">
        <v>18.5</v>
      </c>
      <c r="CS33" s="311">
        <v>18.5</v>
      </c>
      <c r="CT33" s="395">
        <v>18.4</v>
      </c>
      <c r="CU33" s="382">
        <f>14312*100/79932</f>
        <v>17.905219436521044</v>
      </c>
      <c r="CV33" s="311">
        <f>15267*100/78935</f>
        <v>19.34123012605308</v>
      </c>
      <c r="CW33" s="395">
        <v>18.9</v>
      </c>
      <c r="CX33" s="429">
        <f>18400*100/80699</f>
        <v>22.800778200473363</v>
      </c>
    </row>
    <row r="34" spans="2:102" ht="13.5" thickBot="1">
      <c r="B34" s="13" t="s">
        <v>27</v>
      </c>
      <c r="C34" s="8"/>
      <c r="D34" s="48">
        <v>24</v>
      </c>
      <c r="E34" s="48"/>
      <c r="F34" s="72">
        <v>23.9</v>
      </c>
      <c r="G34" s="77"/>
      <c r="H34" s="25"/>
      <c r="I34" s="18"/>
      <c r="J34" s="64">
        <v>23.3</v>
      </c>
      <c r="K34" s="48"/>
      <c r="L34" s="80">
        <v>23.1</v>
      </c>
      <c r="M34" s="81"/>
      <c r="N34" s="27"/>
      <c r="O34" s="27"/>
      <c r="P34" s="103"/>
      <c r="Q34" s="104"/>
      <c r="R34" s="72">
        <v>22.7</v>
      </c>
      <c r="S34" s="77"/>
      <c r="T34" s="25"/>
      <c r="U34" s="25"/>
      <c r="V34" s="91"/>
      <c r="W34" s="91"/>
      <c r="X34" s="115"/>
      <c r="Y34" s="116"/>
      <c r="Z34" s="25"/>
      <c r="AA34" s="25"/>
      <c r="AB34" s="91"/>
      <c r="AC34" s="91"/>
      <c r="AD34" s="115"/>
      <c r="AE34" s="115"/>
      <c r="AF34" s="137">
        <v>21.5</v>
      </c>
      <c r="AG34" s="138">
        <v>21.5</v>
      </c>
      <c r="AH34" s="107"/>
      <c r="AI34" s="107"/>
      <c r="AJ34" s="130"/>
      <c r="AK34" s="130"/>
      <c r="AL34" s="154">
        <v>18.8</v>
      </c>
      <c r="AM34" s="154">
        <v>18.8</v>
      </c>
      <c r="AN34" s="177">
        <v>18.8</v>
      </c>
      <c r="AO34" s="191">
        <v>18.8</v>
      </c>
      <c r="AP34" s="130"/>
      <c r="AQ34" s="130"/>
      <c r="AR34" s="154">
        <v>15.8</v>
      </c>
      <c r="AS34" s="154">
        <v>15.8</v>
      </c>
      <c r="AT34" s="179">
        <v>15.8</v>
      </c>
      <c r="AU34" s="207">
        <v>15.8</v>
      </c>
      <c r="AV34" s="48">
        <v>15.8</v>
      </c>
      <c r="AW34" s="212">
        <v>15.8</v>
      </c>
      <c r="AX34" s="154">
        <v>12.4</v>
      </c>
      <c r="AY34" s="154">
        <v>12.4</v>
      </c>
      <c r="AZ34" s="177">
        <v>12.4</v>
      </c>
      <c r="BA34" s="177">
        <v>12.4</v>
      </c>
      <c r="BB34" s="48">
        <v>12.4</v>
      </c>
      <c r="BC34" s="48">
        <v>12.4</v>
      </c>
      <c r="BD34" s="72">
        <v>12.4</v>
      </c>
      <c r="BE34" s="231">
        <v>12.4</v>
      </c>
      <c r="BF34" s="177">
        <v>13</v>
      </c>
      <c r="BG34" s="177">
        <v>12.9</v>
      </c>
      <c r="BH34" s="48">
        <v>12.7</v>
      </c>
      <c r="BI34" s="48">
        <v>12.6</v>
      </c>
      <c r="BJ34" s="72">
        <v>12.6</v>
      </c>
      <c r="BK34" s="72">
        <v>12.6</v>
      </c>
      <c r="BL34" s="264">
        <v>12.6</v>
      </c>
      <c r="BM34" s="251">
        <v>12.8</v>
      </c>
      <c r="BN34" s="277">
        <v>13.6</v>
      </c>
      <c r="BO34" s="230">
        <v>13.6</v>
      </c>
      <c r="BP34" s="278">
        <v>13.3</v>
      </c>
      <c r="BQ34" s="278">
        <v>13.4</v>
      </c>
      <c r="BR34" s="279">
        <v>13.4</v>
      </c>
      <c r="BS34" s="279">
        <v>13.4</v>
      </c>
      <c r="BT34" s="280">
        <v>13.4</v>
      </c>
      <c r="BU34" s="280">
        <v>13.4</v>
      </c>
      <c r="BV34" s="278">
        <v>23.7</v>
      </c>
      <c r="BW34" s="278">
        <v>23.9</v>
      </c>
      <c r="BX34" s="279">
        <v>23.6</v>
      </c>
      <c r="BY34" s="279">
        <v>23.6</v>
      </c>
      <c r="BZ34" s="296">
        <v>23.6</v>
      </c>
      <c r="CA34" s="296">
        <v>23.6</v>
      </c>
      <c r="CB34" s="308">
        <v>23.6</v>
      </c>
      <c r="CC34" s="298">
        <v>23.6</v>
      </c>
      <c r="CD34" s="279">
        <v>30.8</v>
      </c>
      <c r="CE34" s="279">
        <v>31</v>
      </c>
      <c r="CF34" s="296">
        <v>30.5</v>
      </c>
      <c r="CG34" s="296">
        <v>30.5</v>
      </c>
      <c r="CH34" s="357">
        <v>30.5</v>
      </c>
      <c r="CI34" s="357">
        <v>30.5</v>
      </c>
      <c r="CJ34" s="371">
        <v>30.5</v>
      </c>
      <c r="CK34" s="279">
        <v>33.2</v>
      </c>
      <c r="CL34" s="279">
        <v>33.3</v>
      </c>
      <c r="CM34" s="296">
        <v>33.3</v>
      </c>
      <c r="CN34" s="296">
        <v>33.4</v>
      </c>
      <c r="CO34" s="357">
        <v>34.7</v>
      </c>
      <c r="CP34" s="308">
        <v>34.7</v>
      </c>
      <c r="CQ34" s="371">
        <v>34.7</v>
      </c>
      <c r="CR34" s="357">
        <v>37.8</v>
      </c>
      <c r="CS34" s="308">
        <v>37.9</v>
      </c>
      <c r="CT34" s="371">
        <v>38</v>
      </c>
      <c r="CU34" s="357">
        <f>240546*100/623300</f>
        <v>38.59233114070271</v>
      </c>
      <c r="CV34" s="308">
        <f>241171*100/626200</f>
        <v>38.51341424465027</v>
      </c>
      <c r="CW34" s="370">
        <v>38.4</v>
      </c>
      <c r="CX34" s="399">
        <f>259244*100/662769</f>
        <v>39.11528752853558</v>
      </c>
    </row>
    <row r="35" spans="2:102" ht="14.25" thickBot="1" thickTop="1">
      <c r="B35" s="342" t="s">
        <v>71</v>
      </c>
      <c r="C35" s="332"/>
      <c r="D35" s="63"/>
      <c r="E35" s="63"/>
      <c r="F35" s="229"/>
      <c r="G35" s="224"/>
      <c r="H35" s="37"/>
      <c r="I35" s="333"/>
      <c r="J35" s="338"/>
      <c r="K35" s="63"/>
      <c r="L35" s="80"/>
      <c r="M35" s="334"/>
      <c r="N35" s="14"/>
      <c r="O35" s="14"/>
      <c r="P35" s="335"/>
      <c r="Q35" s="336"/>
      <c r="R35" s="229"/>
      <c r="S35" s="224"/>
      <c r="T35" s="37"/>
      <c r="U35" s="37"/>
      <c r="V35" s="105"/>
      <c r="W35" s="105"/>
      <c r="X35" s="128"/>
      <c r="Y35" s="337"/>
      <c r="Z35" s="37"/>
      <c r="AA35" s="37"/>
      <c r="AB35" s="105"/>
      <c r="AC35" s="105"/>
      <c r="AD35" s="128"/>
      <c r="AE35" s="128"/>
      <c r="AF35" s="148"/>
      <c r="AG35" s="150"/>
      <c r="AH35" s="339"/>
      <c r="AI35" s="339"/>
      <c r="AJ35" s="340"/>
      <c r="AK35" s="340"/>
      <c r="AL35" s="153"/>
      <c r="AM35" s="153"/>
      <c r="AN35" s="176"/>
      <c r="AO35" s="341"/>
      <c r="AP35" s="340"/>
      <c r="AQ35" s="340"/>
      <c r="AR35" s="153"/>
      <c r="AS35" s="153"/>
      <c r="AT35" s="176"/>
      <c r="AU35" s="205"/>
      <c r="AV35" s="63"/>
      <c r="AW35" s="213"/>
      <c r="AX35" s="153"/>
      <c r="AY35" s="153"/>
      <c r="AZ35" s="176"/>
      <c r="BA35" s="176"/>
      <c r="BB35" s="63"/>
      <c r="BC35" s="63"/>
      <c r="BD35" s="229"/>
      <c r="BE35" s="232"/>
      <c r="BF35" s="176"/>
      <c r="BG35" s="176"/>
      <c r="BH35" s="63"/>
      <c r="BI35" s="63"/>
      <c r="BJ35" s="229"/>
      <c r="BK35" s="229"/>
      <c r="BL35" s="263"/>
      <c r="BM35" s="252"/>
      <c r="BN35" s="49"/>
      <c r="BO35" s="49"/>
      <c r="BP35" s="73"/>
      <c r="BQ35" s="73"/>
      <c r="BR35" s="266"/>
      <c r="BS35" s="266"/>
      <c r="BT35" s="272"/>
      <c r="BU35" s="272"/>
      <c r="BV35" s="73"/>
      <c r="BW35" s="73"/>
      <c r="BX35" s="266"/>
      <c r="BY35" s="266"/>
      <c r="BZ35" s="287"/>
      <c r="CA35" s="287"/>
      <c r="CB35" s="306"/>
      <c r="CC35" s="295">
        <v>36.6</v>
      </c>
      <c r="CD35" s="266"/>
      <c r="CE35" s="266"/>
      <c r="CF35" s="287"/>
      <c r="CG35" s="287"/>
      <c r="CH35" s="356"/>
      <c r="CI35" s="356">
        <v>44.9</v>
      </c>
      <c r="CJ35" s="370">
        <v>45</v>
      </c>
      <c r="CK35" s="266"/>
      <c r="CL35" s="266"/>
      <c r="CM35" s="287"/>
      <c r="CN35" s="287"/>
      <c r="CO35" s="356"/>
      <c r="CP35" s="306">
        <v>51.6</v>
      </c>
      <c r="CQ35" s="370">
        <v>52</v>
      </c>
      <c r="CR35" s="356"/>
      <c r="CS35" s="306">
        <v>55.5</v>
      </c>
      <c r="CT35" s="370">
        <v>55.9</v>
      </c>
      <c r="CU35" s="357"/>
      <c r="CV35" s="308" t="s">
        <v>59</v>
      </c>
      <c r="CW35" s="396">
        <v>67.1</v>
      </c>
      <c r="CX35" s="400">
        <f>231786*100/333282</f>
        <v>69.54651016256504</v>
      </c>
    </row>
    <row r="36" spans="2:102" ht="14.25" thickBot="1" thickTop="1">
      <c r="B36" s="17" t="s">
        <v>36</v>
      </c>
      <c r="C36" s="4"/>
      <c r="D36" s="50"/>
      <c r="E36" s="50"/>
      <c r="F36" s="74"/>
      <c r="G36" s="74"/>
      <c r="H36" s="5"/>
      <c r="I36" s="6"/>
      <c r="J36" s="66"/>
      <c r="K36" s="67"/>
      <c r="L36" s="74"/>
      <c r="M36" s="74"/>
      <c r="N36" s="5"/>
      <c r="O36" s="5"/>
      <c r="P36" s="95"/>
      <c r="Q36" s="96"/>
      <c r="R36" s="74"/>
      <c r="S36" s="74"/>
      <c r="T36" s="5"/>
      <c r="U36" s="5"/>
      <c r="V36" s="95"/>
      <c r="W36" s="95"/>
      <c r="X36" s="119"/>
      <c r="Y36" s="120"/>
      <c r="Z36" s="5"/>
      <c r="AA36" s="5"/>
      <c r="AB36" s="95"/>
      <c r="AC36" s="95"/>
      <c r="AD36" s="119"/>
      <c r="AE36" s="119"/>
      <c r="AF36" s="141">
        <v>62.1</v>
      </c>
      <c r="AG36" s="142">
        <v>61.8</v>
      </c>
      <c r="AH36" s="111"/>
      <c r="AI36" s="111"/>
      <c r="AJ36" s="134"/>
      <c r="AK36" s="134"/>
      <c r="AL36" s="155">
        <v>62.5</v>
      </c>
      <c r="AM36" s="155">
        <v>62.1</v>
      </c>
      <c r="AN36" s="180">
        <v>62</v>
      </c>
      <c r="AO36" s="196"/>
      <c r="AP36" s="134"/>
      <c r="AQ36" s="134"/>
      <c r="AR36" s="158">
        <v>62.9</v>
      </c>
      <c r="AS36" s="155">
        <v>62.7</v>
      </c>
      <c r="AT36" s="180">
        <v>62.6</v>
      </c>
      <c r="AU36" s="209">
        <v>62.7</v>
      </c>
      <c r="AV36" s="49">
        <v>62.7</v>
      </c>
      <c r="AW36" s="214">
        <v>62.7</v>
      </c>
      <c r="AX36" s="158">
        <v>61.7</v>
      </c>
      <c r="AY36" s="155">
        <v>61.4</v>
      </c>
      <c r="AZ36" s="180">
        <v>61.2</v>
      </c>
      <c r="BA36" s="180">
        <v>61.3</v>
      </c>
      <c r="BB36" s="49">
        <v>61.3</v>
      </c>
      <c r="BC36" s="49">
        <v>61.3</v>
      </c>
      <c r="BD36" s="73">
        <v>61.4</v>
      </c>
      <c r="BE36" s="233">
        <v>61.5</v>
      </c>
      <c r="BF36" s="180">
        <v>58.7</v>
      </c>
      <c r="BG36" s="180">
        <v>58.7</v>
      </c>
      <c r="BH36" s="49">
        <v>58.7</v>
      </c>
      <c r="BI36" s="49">
        <v>58.7</v>
      </c>
      <c r="BJ36" s="73">
        <v>58.8</v>
      </c>
      <c r="BK36" s="73">
        <v>58.8</v>
      </c>
      <c r="BL36" s="266">
        <v>59</v>
      </c>
      <c r="BM36" s="254">
        <v>59</v>
      </c>
      <c r="BN36" s="49">
        <v>61.5</v>
      </c>
      <c r="BO36" s="49">
        <v>61.5</v>
      </c>
      <c r="BP36" s="73">
        <v>61.6</v>
      </c>
      <c r="BQ36" s="73">
        <v>61.8</v>
      </c>
      <c r="BR36" s="266">
        <v>62.3</v>
      </c>
      <c r="BS36" s="266">
        <v>62.5</v>
      </c>
      <c r="BT36" s="272">
        <v>62.5</v>
      </c>
      <c r="BU36" s="272">
        <v>62.2</v>
      </c>
      <c r="BV36" s="73">
        <v>73.6</v>
      </c>
      <c r="BW36" s="73">
        <v>74</v>
      </c>
      <c r="BX36" s="266">
        <v>74.4</v>
      </c>
      <c r="BY36" s="266">
        <v>74.7</v>
      </c>
      <c r="BZ36" s="287">
        <v>74.8</v>
      </c>
      <c r="CA36" s="287">
        <v>74.6</v>
      </c>
      <c r="CB36" s="306">
        <v>74.6</v>
      </c>
      <c r="CC36" s="295">
        <v>74.5</v>
      </c>
      <c r="CD36" s="266">
        <v>80</v>
      </c>
      <c r="CE36" s="266">
        <v>80.2</v>
      </c>
      <c r="CF36" s="287">
        <v>80</v>
      </c>
      <c r="CG36" s="287">
        <v>80</v>
      </c>
      <c r="CH36" s="356">
        <v>80</v>
      </c>
      <c r="CI36" s="356">
        <v>80</v>
      </c>
      <c r="CJ36" s="370" t="s">
        <v>59</v>
      </c>
      <c r="CK36" s="275" t="s">
        <v>59</v>
      </c>
      <c r="CL36" s="275" t="s">
        <v>59</v>
      </c>
      <c r="CM36" s="287">
        <v>82.5</v>
      </c>
      <c r="CN36" s="287">
        <v>82.5</v>
      </c>
      <c r="CO36" s="383">
        <v>82.5</v>
      </c>
      <c r="CP36" s="312">
        <v>82.4</v>
      </c>
      <c r="CQ36" s="396" t="s">
        <v>59</v>
      </c>
      <c r="CR36" s="383">
        <v>85.3</v>
      </c>
      <c r="CS36" s="306">
        <v>85.2</v>
      </c>
      <c r="CT36" s="370"/>
      <c r="CU36" s="357" t="s">
        <v>59</v>
      </c>
      <c r="CV36" s="308" t="s">
        <v>59</v>
      </c>
      <c r="CW36" s="396" t="s">
        <v>59</v>
      </c>
      <c r="CX36" s="400" t="s">
        <v>59</v>
      </c>
    </row>
    <row r="37" spans="2:102" ht="14.25" thickBot="1" thickTop="1">
      <c r="B37" s="17" t="s">
        <v>70</v>
      </c>
      <c r="C37" s="4"/>
      <c r="D37" s="50"/>
      <c r="E37" s="50"/>
      <c r="F37" s="74"/>
      <c r="G37" s="74"/>
      <c r="H37" s="5"/>
      <c r="I37" s="6"/>
      <c r="J37" s="50"/>
      <c r="K37" s="67"/>
      <c r="L37" s="74"/>
      <c r="M37" s="74"/>
      <c r="N37" s="5"/>
      <c r="O37" s="5"/>
      <c r="P37" s="95"/>
      <c r="Q37" s="96"/>
      <c r="R37" s="74"/>
      <c r="S37" s="74"/>
      <c r="T37" s="5"/>
      <c r="U37" s="5"/>
      <c r="V37" s="95"/>
      <c r="W37" s="95"/>
      <c r="X37" s="119"/>
      <c r="Y37" s="120"/>
      <c r="Z37" s="5"/>
      <c r="AA37" s="5"/>
      <c r="AB37" s="95"/>
      <c r="AC37" s="95"/>
      <c r="AD37" s="119"/>
      <c r="AE37" s="119"/>
      <c r="AF37" s="141"/>
      <c r="AG37" s="142"/>
      <c r="AH37" s="111"/>
      <c r="AI37" s="111"/>
      <c r="AJ37" s="134"/>
      <c r="AK37" s="134"/>
      <c r="AL37" s="155"/>
      <c r="AM37" s="155"/>
      <c r="AN37" s="180"/>
      <c r="AO37" s="196"/>
      <c r="AP37" s="134"/>
      <c r="AQ37" s="134"/>
      <c r="AR37" s="158"/>
      <c r="AS37" s="155"/>
      <c r="AT37" s="180"/>
      <c r="AU37" s="209"/>
      <c r="AV37" s="49"/>
      <c r="AW37" s="214"/>
      <c r="AX37" s="158"/>
      <c r="AY37" s="155"/>
      <c r="AZ37" s="180"/>
      <c r="BA37" s="180"/>
      <c r="BB37" s="49"/>
      <c r="BC37" s="49"/>
      <c r="BD37" s="73"/>
      <c r="BE37" s="233"/>
      <c r="BF37" s="180"/>
      <c r="BG37" s="180"/>
      <c r="BH37" s="49"/>
      <c r="BI37" s="49"/>
      <c r="BJ37" s="73"/>
      <c r="BK37" s="73"/>
      <c r="BL37" s="266"/>
      <c r="BM37" s="254"/>
      <c r="BN37" s="49"/>
      <c r="BO37" s="49"/>
      <c r="BP37" s="73"/>
      <c r="BQ37" s="73"/>
      <c r="BR37" s="266"/>
      <c r="BS37" s="266"/>
      <c r="BT37" s="272"/>
      <c r="BU37" s="272"/>
      <c r="BV37" s="73"/>
      <c r="BW37" s="73"/>
      <c r="BX37" s="266"/>
      <c r="BY37" s="266"/>
      <c r="BZ37" s="287"/>
      <c r="CA37" s="287"/>
      <c r="CB37" s="306"/>
      <c r="CC37" s="295">
        <v>74.3</v>
      </c>
      <c r="CD37" s="266"/>
      <c r="CE37" s="266"/>
      <c r="CF37" s="287"/>
      <c r="CG37" s="287"/>
      <c r="CH37" s="356"/>
      <c r="CI37" s="356">
        <v>79.8</v>
      </c>
      <c r="CJ37" s="370">
        <v>79.9</v>
      </c>
      <c r="CK37" s="275"/>
      <c r="CL37" s="275"/>
      <c r="CM37" s="287"/>
      <c r="CN37" s="287"/>
      <c r="CO37" s="383"/>
      <c r="CP37" s="312">
        <v>82.3</v>
      </c>
      <c r="CQ37" s="396">
        <v>82.4</v>
      </c>
      <c r="CR37" s="383"/>
      <c r="CS37" s="308">
        <v>85.1</v>
      </c>
      <c r="CT37" s="371">
        <v>85.2</v>
      </c>
      <c r="CU37" s="357"/>
      <c r="CV37" s="308" t="s">
        <v>59</v>
      </c>
      <c r="CW37" s="396">
        <v>87.1</v>
      </c>
      <c r="CX37" s="400" t="s">
        <v>59</v>
      </c>
    </row>
    <row r="38" spans="2:102" ht="14.25" thickBot="1" thickTop="1">
      <c r="B38" s="17" t="s">
        <v>58</v>
      </c>
      <c r="C38" s="4"/>
      <c r="D38" s="50">
        <v>69.5</v>
      </c>
      <c r="E38" s="50">
        <v>69.4</v>
      </c>
      <c r="F38" s="74"/>
      <c r="G38" s="74">
        <v>70.3</v>
      </c>
      <c r="H38" s="5">
        <v>69.7</v>
      </c>
      <c r="I38" s="6">
        <v>69.6</v>
      </c>
      <c r="J38" s="58">
        <v>69.1</v>
      </c>
      <c r="K38" s="56">
        <v>69.2</v>
      </c>
      <c r="L38" s="74"/>
      <c r="M38" s="74">
        <v>69.2</v>
      </c>
      <c r="N38" s="5">
        <v>69.4</v>
      </c>
      <c r="O38" s="5">
        <v>69.5</v>
      </c>
      <c r="P38" s="95">
        <v>69.6</v>
      </c>
      <c r="Q38" s="96">
        <v>69.3</v>
      </c>
      <c r="R38" s="74"/>
      <c r="S38" s="74">
        <v>69</v>
      </c>
      <c r="T38" s="5">
        <v>69.2</v>
      </c>
      <c r="U38" s="5">
        <v>69.4</v>
      </c>
      <c r="V38" s="95">
        <v>69.5</v>
      </c>
      <c r="W38" s="95">
        <v>69.2</v>
      </c>
      <c r="X38" s="119">
        <v>68.1</v>
      </c>
      <c r="Y38" s="120">
        <v>68.2</v>
      </c>
      <c r="Z38" s="35">
        <v>70.4</v>
      </c>
      <c r="AA38" s="5">
        <v>70.7</v>
      </c>
      <c r="AB38" s="95">
        <v>70.8</v>
      </c>
      <c r="AC38" s="95">
        <v>70.4</v>
      </c>
      <c r="AD38" s="119">
        <v>69.3</v>
      </c>
      <c r="AE38" s="119">
        <v>69.3</v>
      </c>
      <c r="AF38" s="141">
        <v>69.2</v>
      </c>
      <c r="AG38" s="142">
        <v>69.1</v>
      </c>
      <c r="AH38" s="110">
        <v>71.3</v>
      </c>
      <c r="AI38" s="110">
        <v>70.8</v>
      </c>
      <c r="AJ38" s="133">
        <v>69.8</v>
      </c>
      <c r="AK38" s="133">
        <v>69.8</v>
      </c>
      <c r="AL38" s="156">
        <v>69.7</v>
      </c>
      <c r="AM38" s="157">
        <v>69.6</v>
      </c>
      <c r="AN38" s="181">
        <v>69.5</v>
      </c>
      <c r="AO38" s="194">
        <v>69.6</v>
      </c>
      <c r="AP38" s="133">
        <v>70.8</v>
      </c>
      <c r="AQ38" s="133">
        <v>70.8</v>
      </c>
      <c r="AR38" s="156">
        <v>70.5</v>
      </c>
      <c r="AS38" s="157">
        <v>70.3</v>
      </c>
      <c r="AT38" s="180">
        <v>70.1</v>
      </c>
      <c r="AU38" s="209">
        <v>70.2</v>
      </c>
      <c r="AV38" s="49">
        <v>70</v>
      </c>
      <c r="AW38" s="214">
        <v>70.1</v>
      </c>
      <c r="AX38" s="158">
        <v>69</v>
      </c>
      <c r="AY38" s="155">
        <v>68.6</v>
      </c>
      <c r="AZ38" s="180">
        <v>68.4</v>
      </c>
      <c r="BA38" s="180">
        <v>68.5</v>
      </c>
      <c r="BB38" s="49">
        <v>68.3</v>
      </c>
      <c r="BC38" s="49">
        <v>68.3</v>
      </c>
      <c r="BD38" s="73">
        <v>68.3</v>
      </c>
      <c r="BE38" s="233">
        <v>68.5</v>
      </c>
      <c r="BF38" s="180">
        <v>66.3</v>
      </c>
      <c r="BG38" s="180">
        <v>66.3</v>
      </c>
      <c r="BH38" s="49">
        <v>66</v>
      </c>
      <c r="BI38" s="49">
        <v>66</v>
      </c>
      <c r="BJ38" s="73">
        <v>66</v>
      </c>
      <c r="BK38" s="73">
        <v>66.2</v>
      </c>
      <c r="BL38" s="266">
        <v>66.2</v>
      </c>
      <c r="BM38" s="254">
        <v>66.3</v>
      </c>
      <c r="BN38" s="49">
        <v>69.3</v>
      </c>
      <c r="BO38" s="49">
        <v>69.3</v>
      </c>
      <c r="BP38" s="73">
        <v>69.4</v>
      </c>
      <c r="BQ38" s="73">
        <v>69.8</v>
      </c>
      <c r="BR38" s="266">
        <v>69.9</v>
      </c>
      <c r="BS38" s="266">
        <v>70.1</v>
      </c>
      <c r="BT38" s="272">
        <v>70.1</v>
      </c>
      <c r="BU38" s="272">
        <v>70.2</v>
      </c>
      <c r="BV38" s="73">
        <v>78.7</v>
      </c>
      <c r="BW38" s="73">
        <v>79.2</v>
      </c>
      <c r="BX38" s="266">
        <v>79.3</v>
      </c>
      <c r="BY38" s="266">
        <v>79.8</v>
      </c>
      <c r="BZ38" s="287">
        <v>79.9</v>
      </c>
      <c r="CA38" s="287">
        <v>80</v>
      </c>
      <c r="CB38" s="306">
        <v>80</v>
      </c>
      <c r="CC38" s="295">
        <v>80</v>
      </c>
      <c r="CD38" s="266">
        <v>85.1</v>
      </c>
      <c r="CE38" s="266">
        <v>85.4</v>
      </c>
      <c r="CF38" s="287">
        <v>85.3</v>
      </c>
      <c r="CG38" s="287">
        <v>85.4</v>
      </c>
      <c r="CH38" s="356">
        <v>85.4</v>
      </c>
      <c r="CI38" s="356">
        <v>85.4</v>
      </c>
      <c r="CJ38" s="370">
        <v>85.5</v>
      </c>
      <c r="CK38" s="275" t="s">
        <v>59</v>
      </c>
      <c r="CL38" s="275" t="s">
        <v>59</v>
      </c>
      <c r="CM38" s="287">
        <v>87.2</v>
      </c>
      <c r="CN38" s="287">
        <v>87.3</v>
      </c>
      <c r="CO38" s="383">
        <v>87.3</v>
      </c>
      <c r="CP38" s="312">
        <v>87.3</v>
      </c>
      <c r="CQ38" s="396">
        <v>87.4</v>
      </c>
      <c r="CR38" s="383">
        <v>90.6</v>
      </c>
      <c r="CS38" s="306">
        <v>90.6</v>
      </c>
      <c r="CT38" s="370">
        <v>90.7</v>
      </c>
      <c r="CU38" s="357" t="s">
        <v>59</v>
      </c>
      <c r="CV38" s="308" t="s">
        <v>59</v>
      </c>
      <c r="CW38" s="396">
        <v>92.6</v>
      </c>
      <c r="CX38" s="400" t="s">
        <v>59</v>
      </c>
    </row>
    <row r="39" ht="13.5" thickTop="1">
      <c r="B39" t="s">
        <v>68</v>
      </c>
    </row>
    <row r="40" ht="12.75">
      <c r="B40" t="s">
        <v>64</v>
      </c>
    </row>
  </sheetData>
  <sheetProtection/>
  <mergeCells count="28">
    <mergeCell ref="CD5:CJ5"/>
    <mergeCell ref="CK5:CQ5"/>
    <mergeCell ref="CR5:CT5"/>
    <mergeCell ref="CU5:CW5"/>
    <mergeCell ref="CD22:CJ22"/>
    <mergeCell ref="CK22:CQ22"/>
    <mergeCell ref="CR22:CT22"/>
    <mergeCell ref="CU22:CW22"/>
    <mergeCell ref="BV5:CC5"/>
    <mergeCell ref="BV22:CC22"/>
    <mergeCell ref="BN22:BU22"/>
    <mergeCell ref="BN5:BU5"/>
    <mergeCell ref="Z5:AG5"/>
    <mergeCell ref="Z22:AG22"/>
    <mergeCell ref="AP5:AW5"/>
    <mergeCell ref="AP22:AW22"/>
    <mergeCell ref="AX5:BE5"/>
    <mergeCell ref="AX22:BE22"/>
    <mergeCell ref="BF5:BM5"/>
    <mergeCell ref="BF22:BM22"/>
    <mergeCell ref="D5:I5"/>
    <mergeCell ref="D22:I22"/>
    <mergeCell ref="J5:Q5"/>
    <mergeCell ref="J22:Q22"/>
    <mergeCell ref="AH5:AO5"/>
    <mergeCell ref="AH22:AO22"/>
    <mergeCell ref="R5:Y5"/>
    <mergeCell ref="R22:Y22"/>
  </mergeCells>
  <printOptions horizontalCentered="1" verticalCentered="1"/>
  <pageMargins left="0.3937007874015748" right="0.3937007874015748" top="0.7086614173228347" bottom="0.2362204724409449" header="0.5118110236220472" footer="0.15748031496062992"/>
  <pageSetup fitToHeight="1" fitToWidth="1" horizontalDpi="120" verticalDpi="120" orientation="landscape" paperSize="9" scale="87" r:id="rId1"/>
  <headerFooter alignWithMargins="0">
    <oddFooter>&amp;RG:\Work\Ági\Eurostat\Debt&amp;Deficit\[Fájl]\&amp;A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Könyvelő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Csonka Gizella</dc:creator>
  <cp:keywords/>
  <dc:description/>
  <cp:lastModifiedBy>Csonka Gizella</cp:lastModifiedBy>
  <cp:lastPrinted>2014-04-23T15:13:18Z</cp:lastPrinted>
  <dcterms:created xsi:type="dcterms:W3CDTF">2002-12-30T12:33:54Z</dcterms:created>
  <dcterms:modified xsi:type="dcterms:W3CDTF">2014-04-25T07:08:59Z</dcterms:modified>
  <cp:category/>
  <cp:version/>
  <cp:contentType/>
  <cp:contentStatus/>
</cp:coreProperties>
</file>